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875" tabRatio="936" activeTab="0"/>
  </bookViews>
  <sheets>
    <sheet name="فرم ارتقاء رتبه" sheetId="1" r:id="rId1"/>
    <sheet name="سوابق تحصیلی" sheetId="2" state="hidden" r:id="rId2"/>
    <sheet name="دوره های آموزشی گذرانده شده" sheetId="3" r:id="rId3"/>
    <sheet name="سنوات خدمت" sheetId="4" state="hidden" r:id="rId4"/>
    <sheet name="سنوات مدیریتی" sheetId="5" state="hidden" r:id="rId5"/>
    <sheet name="عضویت در کارگروه" sheetId="6" state="hidden" r:id="rId6"/>
    <sheet name="دوره های اموزشی" sheetId="7" state="hidden" r:id="rId7"/>
    <sheet name="آموزش به همکاران" sheetId="8" state="hidden" r:id="rId8"/>
    <sheet name="مهارت" sheetId="9" state="hidden" r:id="rId9"/>
    <sheet name="زبان های خارجی " sheetId="10" state="hidden" r:id="rId10"/>
    <sheet name="توسعه فردی" sheetId="11" state="hidden" r:id="rId11"/>
    <sheet name="پیشنهاد" sheetId="12" state="hidden" r:id="rId12"/>
    <sheet name="اختراع و اکتشاف" sheetId="13" state="hidden" r:id="rId13"/>
    <sheet name="طرح تحقیقاتی" sheetId="14" state="hidden" r:id="rId14"/>
    <sheet name="تشویق و تقدیر" sheetId="15" state="hidden" r:id="rId15"/>
    <sheet name="عضو نمونه" sheetId="16" state="hidden" r:id="rId16"/>
    <sheet name="تکزیم ارباب رجوع" sheetId="17" state="hidden" r:id="rId17"/>
    <sheet name="شعائر اسلامی" sheetId="18" state="hidden" r:id="rId18"/>
    <sheet name="Sheet3" sheetId="19" state="hidden" r:id="rId19"/>
    <sheet name="Sheet1" sheetId="20" state="hidden" r:id="rId20"/>
    <sheet name="Sheet2" sheetId="21" r:id="rId21"/>
  </sheets>
  <definedNames>
    <definedName name="موردتایید_است?">'فرم ارتقاء رتبه'!$G$140:$G$147</definedName>
  </definedNames>
  <calcPr fullCalcOnLoad="1"/>
</workbook>
</file>

<file path=xl/sharedStrings.xml><?xml version="1.0" encoding="utf-8"?>
<sst xmlns="http://schemas.openxmlformats.org/spreadsheetml/2006/main" count="624" uniqueCount="176">
  <si>
    <t>start</t>
  </si>
  <si>
    <t>end</t>
  </si>
  <si>
    <t>…</t>
  </si>
  <si>
    <t>day</t>
  </si>
  <si>
    <t>month</t>
  </si>
  <si>
    <t>year</t>
  </si>
  <si>
    <t>تفاوت روز</t>
  </si>
  <si>
    <t>تفاوت ماه</t>
  </si>
  <si>
    <t>تفاوت سال</t>
  </si>
  <si>
    <t xml:space="preserve">امتیاز </t>
  </si>
  <si>
    <t>فوق دیپلم</t>
  </si>
  <si>
    <t>لیسانس</t>
  </si>
  <si>
    <t>فوق لیسانس</t>
  </si>
  <si>
    <t>دکتری</t>
  </si>
  <si>
    <t>سال و ماه جایگزین</t>
  </si>
  <si>
    <t>دیپلم</t>
  </si>
  <si>
    <t>امتیاز نهایی</t>
  </si>
  <si>
    <t>مدرک تحصیلی</t>
  </si>
  <si>
    <t>میزان ارتباط مدرک تحصیلی با شغل مورد نظر</t>
  </si>
  <si>
    <t>معدل</t>
  </si>
  <si>
    <t>اعتبار دانشگاه محل اخذ مدرک تحصیلی</t>
  </si>
  <si>
    <t>مرتبط</t>
  </si>
  <si>
    <t>دولتی</t>
  </si>
  <si>
    <t>ضریب</t>
  </si>
  <si>
    <t>غیرمرتبط</t>
  </si>
  <si>
    <t>پیام نور و ازاد</t>
  </si>
  <si>
    <t>غیرانتفاعی و سایر</t>
  </si>
  <si>
    <t>مجموع ساعات</t>
  </si>
  <si>
    <t>مهارتی</t>
  </si>
  <si>
    <t>رتبه 3</t>
  </si>
  <si>
    <t>رتبه 2</t>
  </si>
  <si>
    <t>رتبه 1</t>
  </si>
  <si>
    <t>امتیاز ساعات</t>
  </si>
  <si>
    <t>رتبه</t>
  </si>
  <si>
    <t>جلسه توجیحی بدو استخدام</t>
  </si>
  <si>
    <t>سقف امتیاز</t>
  </si>
  <si>
    <t>معاون مدیر</t>
  </si>
  <si>
    <t>روسای اداره و گروه</t>
  </si>
  <si>
    <t>کارشناس مسئول</t>
  </si>
  <si>
    <t>ماه</t>
  </si>
  <si>
    <t>امتیاز</t>
  </si>
  <si>
    <t>تبصره</t>
  </si>
  <si>
    <t>نام</t>
  </si>
  <si>
    <t>روز</t>
  </si>
  <si>
    <t>سال</t>
  </si>
  <si>
    <t>نوع</t>
  </si>
  <si>
    <t>حقیقی</t>
  </si>
  <si>
    <t>تعداد افراد اموزش دیده</t>
  </si>
  <si>
    <t>امتیاز هر نفر</t>
  </si>
  <si>
    <t>امتیاز با در نظر گرفتن رتبه مهارتی</t>
  </si>
  <si>
    <t>امتیاز با در نظر گرفتن رتبه 3</t>
  </si>
  <si>
    <t>امتیاز با در نظر گرفتن رتبه 2</t>
  </si>
  <si>
    <t>امتیاز با در نظر گرفتن رتبه 1</t>
  </si>
  <si>
    <t>امتیا با اعمال مدرک</t>
  </si>
  <si>
    <t>امتیاز گوهینامه</t>
  </si>
  <si>
    <t>تعداد پیشنهاد</t>
  </si>
  <si>
    <t xml:space="preserve">تعداد </t>
  </si>
  <si>
    <t>تعداد گزارش</t>
  </si>
  <si>
    <t>مرجع</t>
  </si>
  <si>
    <t>تعداد</t>
  </si>
  <si>
    <t>عنوان</t>
  </si>
  <si>
    <t>سطح</t>
  </si>
  <si>
    <t>نرم افزار های تخصصی</t>
  </si>
  <si>
    <t>اتوماسیون اداری</t>
  </si>
  <si>
    <t>مبانی</t>
  </si>
  <si>
    <t>windows</t>
  </si>
  <si>
    <t>internet</t>
  </si>
  <si>
    <t>word</t>
  </si>
  <si>
    <t>excel</t>
  </si>
  <si>
    <t>access</t>
  </si>
  <si>
    <t>powerpoint</t>
  </si>
  <si>
    <t>نام و نام خانودگی</t>
  </si>
  <si>
    <t>مدرک</t>
  </si>
  <si>
    <t>رتبه فعلی</t>
  </si>
  <si>
    <t>سوابق تحصیلی</t>
  </si>
  <si>
    <t>رشته تحصیلی</t>
  </si>
  <si>
    <t>محل اخذ مدرک تحصیلی</t>
  </si>
  <si>
    <t>شاخص های ارزیابی</t>
  </si>
  <si>
    <t>میزار ارتباط مدرک تحصیلی با شغل مورد تصدی</t>
  </si>
  <si>
    <t>وارد کنید:</t>
  </si>
  <si>
    <t>جمع امتیاز بند الف</t>
  </si>
  <si>
    <t>دانشگاه اراک</t>
  </si>
  <si>
    <t>سوابق اجرایی و تجربی</t>
  </si>
  <si>
    <t xml:space="preserve">ماه </t>
  </si>
  <si>
    <t>از تاریخ</t>
  </si>
  <si>
    <t>تا تاریخ</t>
  </si>
  <si>
    <t>مدت</t>
  </si>
  <si>
    <t>سنوات خدمت</t>
  </si>
  <si>
    <t>جمع امتیاز</t>
  </si>
  <si>
    <t>عنوان سمت</t>
  </si>
  <si>
    <t xml:space="preserve">نوع </t>
  </si>
  <si>
    <t>عضویت در کارگروه و ...</t>
  </si>
  <si>
    <t>تعداد ساعت</t>
  </si>
  <si>
    <t>ساعات اموزش بدو استخدام</t>
  </si>
  <si>
    <t>جمع امتیاز بند ب</t>
  </si>
  <si>
    <t>سوابق آموزشی</t>
  </si>
  <si>
    <t>جمع امتیاز ساعات</t>
  </si>
  <si>
    <t>سوابق مدیریتی و ...</t>
  </si>
  <si>
    <t>دوره های
 آموزشی</t>
  </si>
  <si>
    <t>اموزش به همکاران</t>
  </si>
  <si>
    <t>عنوان مهارت</t>
  </si>
  <si>
    <t>بله/ خیر</t>
  </si>
  <si>
    <t>مهارت های  IT/
نرم افزار های عمومی و تخصصی</t>
  </si>
  <si>
    <t>زبان های خارجه</t>
  </si>
  <si>
    <t>ارائه گواهی نامه معتبر</t>
  </si>
  <si>
    <t>دارد؟</t>
  </si>
  <si>
    <t>توسعه فردی</t>
  </si>
  <si>
    <t>جمع امتیاز بند ج</t>
  </si>
  <si>
    <t>امتیاز مدیر</t>
  </si>
  <si>
    <t>فعالیت های علمی - پژوهشی</t>
  </si>
  <si>
    <t>امتیاز با احتصاب مدرک تحصیلی</t>
  </si>
  <si>
    <t>طرح تحقیقاتی و
 گزارشات موردی</t>
  </si>
  <si>
    <t>مقاله</t>
  </si>
  <si>
    <t>مجلات معتبر علمی- ترویجی</t>
  </si>
  <si>
    <t>تدوین پایان نامه-ویراستاری کتب و مجلات</t>
  </si>
  <si>
    <t>سمینار های علمی - تالیف و ترجمه کتاب</t>
  </si>
  <si>
    <t>خارج از حیطه شغل</t>
  </si>
  <si>
    <t>تشویق نامه و تقدیر نامه</t>
  </si>
  <si>
    <t>کسب عنوان عضو نمونه</t>
  </si>
  <si>
    <t>سقف امتیاز با توجه به رتبه</t>
  </si>
  <si>
    <t>جمع امتیاز بند د</t>
  </si>
  <si>
    <t>عنوان دوره</t>
  </si>
  <si>
    <t>ساعت</t>
  </si>
  <si>
    <t>مورد تایید است؟</t>
  </si>
  <si>
    <t>جمع ساعات اموزشی مورد تایید</t>
  </si>
  <si>
    <t xml:space="preserve"> امتیاز نهایی با در نظر گرفتن سقف رتبه</t>
  </si>
  <si>
    <t>تفاوت امتیاز</t>
  </si>
  <si>
    <t>اختراع و اکتشاف</t>
  </si>
  <si>
    <t>جمع امتیاز کسب شده با در نظر
 گرفتن سقف امتیاز در هر مورد</t>
  </si>
  <si>
    <t>جمع امتیاز بدون احتساب سقف امتیازات</t>
  </si>
  <si>
    <t>نام پدر</t>
  </si>
  <si>
    <t>شماره شناسنامه</t>
  </si>
  <si>
    <t>کد ملی</t>
  </si>
  <si>
    <t>نام سازمان</t>
  </si>
  <si>
    <t>واحد سازمانی</t>
  </si>
  <si>
    <t>پست سازمانی</t>
  </si>
  <si>
    <t>تاریخ ثبت در دبیرخانه</t>
  </si>
  <si>
    <t>رتبه مورد تقاضا</t>
  </si>
  <si>
    <t>پیشنهاد نو و ابتکاری</t>
  </si>
  <si>
    <t>عنوان پیشنهاد</t>
  </si>
  <si>
    <t>موردتایید است؟</t>
  </si>
  <si>
    <t>فرمول جمع مورد تایید ها</t>
  </si>
  <si>
    <t>فرمول امتیاز دهی به مورد تایید ها</t>
  </si>
  <si>
    <t>عنوان اختراع و اکتشاف</t>
  </si>
  <si>
    <t>امتیاز مورد تایید ها</t>
  </si>
  <si>
    <t>عنوان تحقیق و گزارش موردی</t>
  </si>
  <si>
    <t>امتیاز موردتاییدها</t>
  </si>
  <si>
    <t>عنوان آموزش</t>
  </si>
  <si>
    <t>اموزش گیرنده</t>
  </si>
  <si>
    <t>موزدتایید است؟</t>
  </si>
  <si>
    <t>امتیاز مورد تایید</t>
  </si>
  <si>
    <t>مدیر</t>
  </si>
  <si>
    <t>مدت ماندگاری در رتبه فعلی</t>
  </si>
  <si>
    <t>مرتبط است؟</t>
  </si>
  <si>
    <t>خیر</t>
  </si>
  <si>
    <t>شعائر اسلامی</t>
  </si>
  <si>
    <t>تکریم 
ارباب رجوع</t>
  </si>
  <si>
    <t>خوب</t>
  </si>
  <si>
    <t>متوسط</t>
  </si>
  <si>
    <t>ضعیف</t>
  </si>
  <si>
    <t>میانگین</t>
  </si>
  <si>
    <t>جمع</t>
  </si>
  <si>
    <t>تعداد ضعیف</t>
  </si>
  <si>
    <t>تعداد متوسط</t>
  </si>
  <si>
    <t>تعداد خوب</t>
  </si>
  <si>
    <t>تکریم ارباب رجوع</t>
  </si>
  <si>
    <t>مرجع (انتخاب کنید)</t>
  </si>
  <si>
    <t>مقدماتي</t>
  </si>
  <si>
    <t>دانشگاه آزاد اراك</t>
  </si>
  <si>
    <t>ازاد</t>
  </si>
  <si>
    <t>بله</t>
  </si>
  <si>
    <t>نسرين فراهاني</t>
  </si>
  <si>
    <t>آموزش و رفع اشكال اتوماسيون اداري</t>
  </si>
  <si>
    <t>خير</t>
  </si>
  <si>
    <t>رئیس دانشگاه</t>
  </si>
  <si>
    <t>مدیر دانشگاه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</si>
</sst>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B Nazanin"/>
      <family val="0"/>
    </font>
    <font>
      <b/>
      <sz val="9"/>
      <color indexed="8"/>
      <name val="B Titr"/>
      <family val="0"/>
    </font>
    <font>
      <b/>
      <sz val="14"/>
      <name val="B Tit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B Nazanin"/>
      <family val="0"/>
    </font>
    <font>
      <b/>
      <sz val="9"/>
      <color theme="1"/>
      <name val="B Tit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/>
    </xf>
    <xf numFmtId="0" fontId="0" fillId="13" borderId="16" xfId="0" applyFill="1" applyBorder="1" applyAlignment="1">
      <alignment/>
    </xf>
    <xf numFmtId="0" fontId="0" fillId="13" borderId="10" xfId="0" applyFill="1" applyBorder="1" applyAlignment="1">
      <alignment/>
    </xf>
    <xf numFmtId="0" fontId="0" fillId="9" borderId="10" xfId="0" applyFill="1" applyBorder="1" applyAlignment="1">
      <alignment/>
    </xf>
    <xf numFmtId="0" fontId="38" fillId="0" borderId="10" xfId="0" applyFont="1" applyBorder="1" applyAlignment="1">
      <alignment/>
    </xf>
    <xf numFmtId="2" fontId="0" fillId="13" borderId="10" xfId="0" applyNumberFormat="1" applyFill="1" applyBorder="1" applyAlignment="1">
      <alignment/>
    </xf>
    <xf numFmtId="0" fontId="0" fillId="19" borderId="0" xfId="0" applyFill="1" applyAlignment="1">
      <alignment/>
    </xf>
    <xf numFmtId="0" fontId="0" fillId="19" borderId="10" xfId="0" applyFill="1" applyBorder="1" applyAlignment="1">
      <alignment/>
    </xf>
    <xf numFmtId="0" fontId="0" fillId="0" borderId="0" xfId="0" applyAlignment="1">
      <alignment/>
    </xf>
    <xf numFmtId="0" fontId="0" fillId="0" borderId="17" xfId="0" applyFill="1" applyBorder="1" applyAlignment="1">
      <alignment/>
    </xf>
    <xf numFmtId="0" fontId="0" fillId="13" borderId="0" xfId="0" applyFill="1" applyAlignment="1">
      <alignment/>
    </xf>
    <xf numFmtId="0" fontId="0" fillId="9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vertical="center"/>
    </xf>
    <xf numFmtId="164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2" fontId="0" fillId="33" borderId="18" xfId="0" applyNumberFormat="1" applyFill="1" applyBorder="1" applyAlignment="1">
      <alignment vertic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18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18" borderId="10" xfId="0" applyFont="1" applyFill="1" applyBorder="1" applyAlignment="1">
      <alignment/>
    </xf>
    <xf numFmtId="0" fontId="39" fillId="18" borderId="16" xfId="0" applyFont="1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1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18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/>
    </xf>
    <xf numFmtId="0" fontId="39" fillId="18" borderId="19" xfId="0" applyFont="1" applyFill="1" applyBorder="1" applyAlignment="1">
      <alignment horizontal="center" vertical="center"/>
    </xf>
    <xf numFmtId="0" fontId="39" fillId="18" borderId="17" xfId="0" applyFont="1" applyFill="1" applyBorder="1" applyAlignment="1">
      <alignment horizontal="center" vertical="center"/>
    </xf>
    <xf numFmtId="0" fontId="39" fillId="18" borderId="20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2" fontId="39" fillId="0" borderId="19" xfId="0" applyNumberFormat="1" applyFont="1" applyBorder="1" applyAlignment="1">
      <alignment horizontal="center" vertical="center"/>
    </xf>
    <xf numFmtId="2" fontId="39" fillId="0" borderId="17" xfId="0" applyNumberFormat="1" applyFont="1" applyBorder="1" applyAlignment="1">
      <alignment horizontal="center" vertical="center"/>
    </xf>
    <xf numFmtId="2" fontId="39" fillId="0" borderId="2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18" borderId="10" xfId="0" applyFont="1" applyFill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9" borderId="23" xfId="0" applyFont="1" applyFill="1" applyBorder="1" applyAlignment="1">
      <alignment horizontal="center"/>
    </xf>
    <xf numFmtId="0" fontId="39" fillId="9" borderId="24" xfId="0" applyFont="1" applyFill="1" applyBorder="1" applyAlignment="1">
      <alignment horizontal="center"/>
    </xf>
    <xf numFmtId="0" fontId="39" fillId="9" borderId="16" xfId="0" applyFont="1" applyFill="1" applyBorder="1" applyAlignment="1">
      <alignment horizontal="center"/>
    </xf>
    <xf numFmtId="2" fontId="39" fillId="9" borderId="23" xfId="0" applyNumberFormat="1" applyFont="1" applyFill="1" applyBorder="1" applyAlignment="1">
      <alignment horizontal="center"/>
    </xf>
    <xf numFmtId="2" fontId="39" fillId="9" borderId="24" xfId="0" applyNumberFormat="1" applyFont="1" applyFill="1" applyBorder="1" applyAlignment="1">
      <alignment horizontal="center"/>
    </xf>
    <xf numFmtId="2" fontId="39" fillId="9" borderId="16" xfId="0" applyNumberFormat="1" applyFont="1" applyFill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34" borderId="0" xfId="0" applyFont="1" applyFill="1" applyAlignment="1">
      <alignment horizontal="center"/>
    </xf>
    <xf numFmtId="2" fontId="39" fillId="34" borderId="14" xfId="0" applyNumberFormat="1" applyFont="1" applyFill="1" applyBorder="1" applyAlignment="1">
      <alignment horizontal="center"/>
    </xf>
    <xf numFmtId="2" fontId="39" fillId="35" borderId="23" xfId="0" applyNumberFormat="1" applyFont="1" applyFill="1" applyBorder="1" applyAlignment="1">
      <alignment horizontal="center"/>
    </xf>
    <xf numFmtId="2" fontId="39" fillId="35" borderId="24" xfId="0" applyNumberFormat="1" applyFont="1" applyFill="1" applyBorder="1" applyAlignment="1">
      <alignment horizontal="center"/>
    </xf>
    <xf numFmtId="2" fontId="39" fillId="35" borderId="16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18" borderId="23" xfId="0" applyFont="1" applyFill="1" applyBorder="1" applyAlignment="1">
      <alignment horizontal="center"/>
    </xf>
    <xf numFmtId="0" fontId="39" fillId="18" borderId="16" xfId="0" applyFont="1" applyFill="1" applyBorder="1" applyAlignment="1">
      <alignment horizontal="center"/>
    </xf>
    <xf numFmtId="0" fontId="39" fillId="0" borderId="19" xfId="0" applyFont="1" applyBorder="1" applyAlignment="1">
      <alignment horizontal="center" vertical="center" textRotation="90"/>
    </xf>
    <xf numFmtId="0" fontId="39" fillId="0" borderId="17" xfId="0" applyFont="1" applyBorder="1" applyAlignment="1">
      <alignment horizontal="center" vertical="center" textRotation="90"/>
    </xf>
    <xf numFmtId="0" fontId="39" fillId="0" borderId="20" xfId="0" applyFont="1" applyBorder="1" applyAlignment="1">
      <alignment horizontal="center" vertical="center" textRotation="90"/>
    </xf>
    <xf numFmtId="0" fontId="39" fillId="34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9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 textRotation="90"/>
    </xf>
    <xf numFmtId="0" fontId="39" fillId="0" borderId="10" xfId="0" applyFont="1" applyFill="1" applyBorder="1" applyAlignment="1">
      <alignment horizontal="center"/>
    </xf>
    <xf numFmtId="2" fontId="39" fillId="34" borderId="10" xfId="0" applyNumberFormat="1" applyFont="1" applyFill="1" applyBorder="1" applyAlignment="1">
      <alignment horizontal="center"/>
    </xf>
    <xf numFmtId="2" fontId="39" fillId="9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18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39" fillId="0" borderId="23" xfId="0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39" fillId="15" borderId="10" xfId="0" applyFont="1" applyFill="1" applyBorder="1" applyAlignment="1">
      <alignment horizontal="center"/>
    </xf>
    <xf numFmtId="2" fontId="39" fillId="15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9" fillId="15" borderId="24" xfId="0" applyFont="1" applyFill="1" applyBorder="1" applyAlignment="1">
      <alignment horizontal="center"/>
    </xf>
    <xf numFmtId="0" fontId="39" fillId="15" borderId="16" xfId="0" applyFont="1" applyFill="1" applyBorder="1" applyAlignment="1">
      <alignment horizontal="center"/>
    </xf>
    <xf numFmtId="0" fontId="39" fillId="15" borderId="10" xfId="0" applyFont="1" applyFill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right" vertical="center"/>
    </xf>
    <xf numFmtId="0" fontId="39" fillId="0" borderId="19" xfId="0" applyFont="1" applyBorder="1" applyAlignment="1">
      <alignment horizontal="center" vertical="center" textRotation="90" wrapText="1"/>
    </xf>
    <xf numFmtId="0" fontId="39" fillId="0" borderId="17" xfId="0" applyFont="1" applyBorder="1" applyAlignment="1">
      <alignment horizontal="center" vertical="center" textRotation="90" wrapText="1"/>
    </xf>
    <xf numFmtId="0" fontId="39" fillId="0" borderId="20" xfId="0" applyFont="1" applyBorder="1" applyAlignment="1">
      <alignment horizontal="center" vertical="center" textRotation="90" wrapText="1"/>
    </xf>
    <xf numFmtId="0" fontId="39" fillId="0" borderId="23" xfId="0" applyFont="1" applyBorder="1" applyAlignment="1">
      <alignment horizontal="right" vertical="center"/>
    </xf>
    <xf numFmtId="0" fontId="39" fillId="0" borderId="24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3" borderId="0" xfId="0" applyNumberFormat="1" applyFill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24" comment="" totalsRowShown="0">
  <autoFilter ref="A1:F24"/>
  <tableColumns count="6">
    <tableColumn id="1" name="عنوان دوره"/>
    <tableColumn id="2" name="از تاریخ"/>
    <tableColumn id="3" name="تا تاریخ"/>
    <tableColumn id="4" name="ساعت"/>
    <tableColumn id="5" name="مورد تایید است؟"/>
    <tableColumn id="6" name="جمع ساعات اموزشی مورد تایید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33"/>
  <sheetViews>
    <sheetView rightToLeft="1" tabSelected="1" zoomScalePageLayoutView="0" workbookViewId="0" topLeftCell="A1">
      <selection activeCell="H8" sqref="H8:I8"/>
    </sheetView>
  </sheetViews>
  <sheetFormatPr defaultColWidth="9.140625" defaultRowHeight="15"/>
  <cols>
    <col min="1" max="1" width="9.421875" style="0" customWidth="1"/>
    <col min="2" max="2" width="6.57421875" style="0" customWidth="1"/>
    <col min="3" max="3" width="9.421875" style="0" customWidth="1"/>
    <col min="5" max="5" width="8.7109375" style="0" customWidth="1"/>
    <col min="6" max="6" width="9.8515625" style="0" customWidth="1"/>
    <col min="7" max="7" width="10.00390625" style="0" customWidth="1"/>
    <col min="8" max="8" width="7.57421875" style="0" customWidth="1"/>
    <col min="9" max="9" width="13.7109375" style="0" customWidth="1"/>
  </cols>
  <sheetData>
    <row r="1" spans="1:9" ht="15">
      <c r="A1" s="93"/>
      <c r="B1" s="93"/>
      <c r="C1" s="93"/>
      <c r="D1" s="93"/>
      <c r="E1" s="93"/>
      <c r="F1" s="93"/>
      <c r="G1" s="93"/>
      <c r="H1" s="93"/>
      <c r="I1" s="93"/>
    </row>
    <row r="2" spans="1:9" ht="17.25">
      <c r="A2" s="31" t="s">
        <v>71</v>
      </c>
      <c r="B2" s="66"/>
      <c r="C2" s="68"/>
      <c r="D2" s="31" t="s">
        <v>130</v>
      </c>
      <c r="E2" s="31"/>
      <c r="F2" s="31" t="s">
        <v>131</v>
      </c>
      <c r="G2" s="31"/>
      <c r="H2" s="31" t="s">
        <v>132</v>
      </c>
      <c r="I2" s="31"/>
    </row>
    <row r="3" spans="1:9" ht="17.25">
      <c r="A3" s="31" t="s">
        <v>72</v>
      </c>
      <c r="B3" s="78"/>
      <c r="C3" s="79"/>
      <c r="D3" s="31" t="s">
        <v>133</v>
      </c>
      <c r="E3" s="31" t="s">
        <v>81</v>
      </c>
      <c r="F3" s="31" t="s">
        <v>134</v>
      </c>
      <c r="G3" s="31"/>
      <c r="H3" s="31" t="s">
        <v>135</v>
      </c>
      <c r="I3" s="31"/>
    </row>
    <row r="4" spans="1:9" ht="17.25">
      <c r="A4" s="31" t="s">
        <v>73</v>
      </c>
      <c r="B4" s="31" t="s">
        <v>167</v>
      </c>
      <c r="C4" s="66" t="s">
        <v>152</v>
      </c>
      <c r="D4" s="68"/>
      <c r="E4" s="31"/>
      <c r="F4" s="31" t="s">
        <v>137</v>
      </c>
      <c r="G4" s="32" t="s">
        <v>28</v>
      </c>
      <c r="H4" s="31" t="s">
        <v>136</v>
      </c>
      <c r="I4" s="31"/>
    </row>
    <row r="5" spans="1:9" ht="17.25">
      <c r="A5" s="94"/>
      <c r="B5" s="94"/>
      <c r="C5" s="94"/>
      <c r="D5" s="94"/>
      <c r="E5" s="94"/>
      <c r="F5" s="94"/>
      <c r="G5" s="94"/>
      <c r="H5" s="94"/>
      <c r="I5" s="94"/>
    </row>
    <row r="6" spans="1:9" ht="17.25">
      <c r="A6" s="54" t="s">
        <v>74</v>
      </c>
      <c r="B6" s="54"/>
      <c r="C6" s="54"/>
      <c r="D6" s="54"/>
      <c r="E6" s="54"/>
      <c r="F6" s="54"/>
      <c r="G6" s="54"/>
      <c r="H6" s="54"/>
      <c r="I6" s="54"/>
    </row>
    <row r="7" spans="1:9" ht="17.25">
      <c r="A7" s="54"/>
      <c r="B7" s="54" t="s">
        <v>72</v>
      </c>
      <c r="C7" s="54"/>
      <c r="D7" s="54" t="s">
        <v>75</v>
      </c>
      <c r="E7" s="54"/>
      <c r="F7" s="54" t="s">
        <v>76</v>
      </c>
      <c r="G7" s="54"/>
      <c r="H7" s="54" t="s">
        <v>19</v>
      </c>
      <c r="I7" s="54"/>
    </row>
    <row r="8" spans="1:9" ht="17.25">
      <c r="A8" s="54"/>
      <c r="B8" s="55"/>
      <c r="C8" s="55"/>
      <c r="D8" s="54"/>
      <c r="E8" s="54"/>
      <c r="F8" s="54" t="s">
        <v>168</v>
      </c>
      <c r="G8" s="54"/>
      <c r="H8" s="55"/>
      <c r="I8" s="55"/>
    </row>
    <row r="9" spans="1:9" ht="17.25">
      <c r="A9" s="54"/>
      <c r="B9" s="54" t="s">
        <v>77</v>
      </c>
      <c r="C9" s="54"/>
      <c r="D9" s="54"/>
      <c r="E9" s="54"/>
      <c r="F9" s="54"/>
      <c r="G9" s="54"/>
      <c r="H9" s="54"/>
      <c r="I9" s="31" t="s">
        <v>40</v>
      </c>
    </row>
    <row r="10" spans="1:9" ht="17.25">
      <c r="A10" s="54"/>
      <c r="B10" s="95" t="s">
        <v>17</v>
      </c>
      <c r="C10" s="95"/>
      <c r="D10" s="95"/>
      <c r="E10" s="95"/>
      <c r="F10" s="95"/>
      <c r="G10" s="95"/>
      <c r="H10" s="95"/>
      <c r="I10" s="31" t="str">
        <f>'سوابق تحصیلی'!F7</f>
        <v>خطا در وارد کردن</v>
      </c>
    </row>
    <row r="11" spans="1:9" ht="17.25">
      <c r="A11" s="54"/>
      <c r="B11" s="96" t="s">
        <v>78</v>
      </c>
      <c r="C11" s="97"/>
      <c r="D11" s="97"/>
      <c r="E11" s="97"/>
      <c r="F11" s="97"/>
      <c r="G11" s="33" t="s">
        <v>79</v>
      </c>
      <c r="H11" s="34" t="s">
        <v>21</v>
      </c>
      <c r="I11" s="31" t="e">
        <f>'سوابق تحصیلی'!F8</f>
        <v>#VALUE!</v>
      </c>
    </row>
    <row r="12" spans="1:9" ht="17.25">
      <c r="A12" s="54"/>
      <c r="B12" s="96" t="s">
        <v>20</v>
      </c>
      <c r="C12" s="97"/>
      <c r="D12" s="97"/>
      <c r="E12" s="97"/>
      <c r="F12" s="98"/>
      <c r="G12" s="33" t="s">
        <v>79</v>
      </c>
      <c r="H12" s="35" t="s">
        <v>169</v>
      </c>
      <c r="I12" s="31" t="e">
        <f>'سوابق تحصیلی'!F9</f>
        <v>#VALUE!</v>
      </c>
    </row>
    <row r="13" spans="1:9" ht="17.25">
      <c r="A13" s="54"/>
      <c r="B13" s="95" t="s">
        <v>19</v>
      </c>
      <c r="C13" s="95"/>
      <c r="D13" s="95"/>
      <c r="E13" s="95"/>
      <c r="F13" s="95"/>
      <c r="G13" s="95"/>
      <c r="H13" s="95"/>
      <c r="I13" s="31" t="e">
        <f>'سوابق تحصیلی'!F10</f>
        <v>#VALUE!</v>
      </c>
    </row>
    <row r="14" spans="1:9" ht="17.25">
      <c r="A14" s="83" t="s">
        <v>80</v>
      </c>
      <c r="B14" s="83"/>
      <c r="C14" s="83" t="e">
        <f>'سوابق تحصیلی'!B13</f>
        <v>#VALUE!</v>
      </c>
      <c r="D14" s="83"/>
      <c r="E14" s="83"/>
      <c r="F14" s="83"/>
      <c r="G14" s="83"/>
      <c r="H14" s="83"/>
      <c r="I14" s="83"/>
    </row>
    <row r="15" spans="1:9" ht="17.25">
      <c r="A15" s="74" t="s">
        <v>82</v>
      </c>
      <c r="B15" s="74"/>
      <c r="C15" s="74"/>
      <c r="D15" s="74"/>
      <c r="E15" s="74"/>
      <c r="F15" s="74"/>
      <c r="G15" s="74"/>
      <c r="H15" s="74"/>
      <c r="I15" s="74"/>
    </row>
    <row r="16" spans="1:9" ht="17.25">
      <c r="A16" s="54"/>
      <c r="B16" s="31"/>
      <c r="C16" s="31" t="s">
        <v>72</v>
      </c>
      <c r="D16" s="31"/>
      <c r="E16" s="36" t="s">
        <v>84</v>
      </c>
      <c r="F16" s="36" t="s">
        <v>85</v>
      </c>
      <c r="G16" s="54" t="s">
        <v>86</v>
      </c>
      <c r="H16" s="54"/>
      <c r="I16" s="36" t="s">
        <v>40</v>
      </c>
    </row>
    <row r="17" spans="1:9" ht="17.25">
      <c r="A17" s="54"/>
      <c r="B17" s="87" t="s">
        <v>87</v>
      </c>
      <c r="C17" s="84" t="s">
        <v>15</v>
      </c>
      <c r="D17" s="36" t="s">
        <v>43</v>
      </c>
      <c r="E17" s="37"/>
      <c r="F17" s="37"/>
      <c r="G17" s="54">
        <f>'سنوات خدمت'!G8</f>
        <v>0</v>
      </c>
      <c r="H17" s="54"/>
      <c r="I17" s="91">
        <f>'سنوات خدمت'!G14</f>
        <v>0</v>
      </c>
    </row>
    <row r="18" spans="1:9" ht="17.25">
      <c r="A18" s="54"/>
      <c r="B18" s="87"/>
      <c r="C18" s="84"/>
      <c r="D18" s="36" t="s">
        <v>83</v>
      </c>
      <c r="E18" s="37"/>
      <c r="F18" s="37"/>
      <c r="G18" s="54">
        <f>'سنوات خدمت'!G9</f>
        <v>0</v>
      </c>
      <c r="H18" s="54"/>
      <c r="I18" s="91"/>
    </row>
    <row r="19" spans="1:9" ht="17.25">
      <c r="A19" s="54"/>
      <c r="B19" s="87"/>
      <c r="C19" s="84"/>
      <c r="D19" s="36" t="s">
        <v>44</v>
      </c>
      <c r="E19" s="37"/>
      <c r="F19" s="37"/>
      <c r="G19" s="54">
        <f>'سنوات خدمت'!G10</f>
        <v>0</v>
      </c>
      <c r="H19" s="54"/>
      <c r="I19" s="91"/>
    </row>
    <row r="20" spans="1:9" ht="17.25">
      <c r="A20" s="54"/>
      <c r="B20" s="87"/>
      <c r="C20" s="84" t="s">
        <v>10</v>
      </c>
      <c r="D20" s="36" t="s">
        <v>43</v>
      </c>
      <c r="E20" s="37"/>
      <c r="F20" s="37"/>
      <c r="G20" s="54">
        <f>'سنوات خدمت'!G18</f>
        <v>0</v>
      </c>
      <c r="H20" s="54"/>
      <c r="I20" s="91">
        <f>'سنوات خدمت'!G24</f>
        <v>0</v>
      </c>
    </row>
    <row r="21" spans="1:9" ht="17.25">
      <c r="A21" s="54"/>
      <c r="B21" s="87"/>
      <c r="C21" s="84"/>
      <c r="D21" s="36" t="s">
        <v>83</v>
      </c>
      <c r="E21" s="37"/>
      <c r="F21" s="37"/>
      <c r="G21" s="54">
        <f>'سنوات خدمت'!G19</f>
        <v>0</v>
      </c>
      <c r="H21" s="54"/>
      <c r="I21" s="91"/>
    </row>
    <row r="22" spans="1:9" ht="17.25">
      <c r="A22" s="54"/>
      <c r="B22" s="87"/>
      <c r="C22" s="84"/>
      <c r="D22" s="36" t="s">
        <v>44</v>
      </c>
      <c r="E22" s="37"/>
      <c r="F22" s="37"/>
      <c r="G22" s="54">
        <f>'سنوات خدمت'!G20</f>
        <v>0</v>
      </c>
      <c r="H22" s="54"/>
      <c r="I22" s="91"/>
    </row>
    <row r="23" spans="1:9" ht="17.25">
      <c r="A23" s="54"/>
      <c r="B23" s="87"/>
      <c r="C23" s="84" t="s">
        <v>11</v>
      </c>
      <c r="D23" s="36" t="s">
        <v>43</v>
      </c>
      <c r="E23" s="37">
        <v>1</v>
      </c>
      <c r="F23" s="37">
        <v>1</v>
      </c>
      <c r="G23" s="54">
        <f>'سنوات خدمت'!G28</f>
        <v>0</v>
      </c>
      <c r="H23" s="54"/>
      <c r="I23" s="91">
        <f>'سنوات خدمت'!G34</f>
        <v>335.4246575342466</v>
      </c>
    </row>
    <row r="24" spans="1:9" ht="17.25">
      <c r="A24" s="54"/>
      <c r="B24" s="87"/>
      <c r="C24" s="84"/>
      <c r="D24" s="36" t="s">
        <v>83</v>
      </c>
      <c r="E24" s="37">
        <v>7</v>
      </c>
      <c r="F24" s="37">
        <v>10</v>
      </c>
      <c r="G24" s="54">
        <f>'سنوات خدمت'!G29</f>
        <v>3</v>
      </c>
      <c r="H24" s="54"/>
      <c r="I24" s="91"/>
    </row>
    <row r="25" spans="1:9" ht="17.25">
      <c r="A25" s="54"/>
      <c r="B25" s="87"/>
      <c r="C25" s="84"/>
      <c r="D25" s="36" t="s">
        <v>44</v>
      </c>
      <c r="E25" s="37">
        <v>81</v>
      </c>
      <c r="F25" s="37">
        <v>96</v>
      </c>
      <c r="G25" s="54">
        <f>'سنوات خدمت'!G30</f>
        <v>15</v>
      </c>
      <c r="H25" s="54"/>
      <c r="I25" s="91"/>
    </row>
    <row r="26" spans="1:9" ht="17.25">
      <c r="A26" s="54"/>
      <c r="B26" s="87"/>
      <c r="C26" s="84" t="s">
        <v>12</v>
      </c>
      <c r="D26" s="36" t="s">
        <v>43</v>
      </c>
      <c r="E26" s="37"/>
      <c r="F26" s="37"/>
      <c r="G26" s="54">
        <f>'سنوات خدمت'!G38</f>
        <v>0</v>
      </c>
      <c r="H26" s="54"/>
      <c r="I26" s="91">
        <f>'سنوات خدمت'!G44</f>
        <v>0</v>
      </c>
    </row>
    <row r="27" spans="1:9" ht="17.25">
      <c r="A27" s="54"/>
      <c r="B27" s="87"/>
      <c r="C27" s="84"/>
      <c r="D27" s="36" t="s">
        <v>83</v>
      </c>
      <c r="E27" s="37"/>
      <c r="F27" s="37"/>
      <c r="G27" s="54">
        <f>'سنوات خدمت'!G39</f>
        <v>0</v>
      </c>
      <c r="H27" s="54"/>
      <c r="I27" s="91"/>
    </row>
    <row r="28" spans="1:9" ht="17.25">
      <c r="A28" s="54"/>
      <c r="B28" s="87"/>
      <c r="C28" s="84"/>
      <c r="D28" s="36" t="s">
        <v>44</v>
      </c>
      <c r="E28" s="37"/>
      <c r="F28" s="37"/>
      <c r="G28" s="54">
        <f>'سنوات خدمت'!G40</f>
        <v>0</v>
      </c>
      <c r="H28" s="54"/>
      <c r="I28" s="91"/>
    </row>
    <row r="29" spans="1:9" ht="17.25">
      <c r="A29" s="54"/>
      <c r="B29" s="87"/>
      <c r="C29" s="84" t="s">
        <v>13</v>
      </c>
      <c r="D29" s="36" t="s">
        <v>43</v>
      </c>
      <c r="E29" s="37"/>
      <c r="F29" s="37"/>
      <c r="G29" s="54">
        <f>'سنوات خدمت'!G48</f>
        <v>0</v>
      </c>
      <c r="H29" s="54"/>
      <c r="I29" s="91">
        <f>'سنوات خدمت'!G54</f>
        <v>0</v>
      </c>
    </row>
    <row r="30" spans="1:9" ht="17.25">
      <c r="A30" s="54"/>
      <c r="B30" s="87"/>
      <c r="C30" s="84"/>
      <c r="D30" s="36" t="s">
        <v>83</v>
      </c>
      <c r="E30" s="37"/>
      <c r="F30" s="37"/>
      <c r="G30" s="54">
        <f>'سنوات خدمت'!G49</f>
        <v>0</v>
      </c>
      <c r="H30" s="54"/>
      <c r="I30" s="91"/>
    </row>
    <row r="31" spans="1:9" ht="17.25">
      <c r="A31" s="54"/>
      <c r="B31" s="87"/>
      <c r="C31" s="84"/>
      <c r="D31" s="36" t="s">
        <v>44</v>
      </c>
      <c r="E31" s="37"/>
      <c r="F31" s="37"/>
      <c r="G31" s="54">
        <f>'سنوات خدمت'!G50</f>
        <v>0</v>
      </c>
      <c r="H31" s="54"/>
      <c r="I31" s="91"/>
    </row>
    <row r="32" spans="1:9" ht="17.25">
      <c r="A32" s="54"/>
      <c r="B32" s="99" t="s">
        <v>88</v>
      </c>
      <c r="C32" s="99"/>
      <c r="D32" s="100">
        <f>'سنوات خدمت'!D57</f>
        <v>335.4246575342466</v>
      </c>
      <c r="E32" s="99"/>
      <c r="F32" s="99"/>
      <c r="G32" s="99"/>
      <c r="H32" s="99"/>
      <c r="I32" s="99"/>
    </row>
    <row r="33" spans="1:9" ht="17.25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15">
      <c r="A34" s="54"/>
      <c r="B34" s="80" t="s">
        <v>97</v>
      </c>
      <c r="C34" s="36" t="s">
        <v>89</v>
      </c>
      <c r="D34" s="36"/>
      <c r="E34" s="36" t="s">
        <v>84</v>
      </c>
      <c r="F34" s="36" t="s">
        <v>85</v>
      </c>
      <c r="G34" s="36" t="s">
        <v>86</v>
      </c>
      <c r="H34" s="36" t="s">
        <v>41</v>
      </c>
      <c r="I34" s="36" t="s">
        <v>40</v>
      </c>
    </row>
    <row r="35" spans="1:9" ht="17.25">
      <c r="A35" s="54"/>
      <c r="B35" s="81"/>
      <c r="C35" s="92" t="s">
        <v>151</v>
      </c>
      <c r="D35" s="31" t="s">
        <v>43</v>
      </c>
      <c r="E35" s="32"/>
      <c r="F35" s="32"/>
      <c r="G35" s="31">
        <f>'سنوات مدیریتی'!I9</f>
        <v>0</v>
      </c>
      <c r="H35" s="92"/>
      <c r="I35" s="107">
        <f>'سنوات مدیریتی'!K9</f>
        <v>0</v>
      </c>
    </row>
    <row r="36" spans="1:9" ht="17.25">
      <c r="A36" s="54"/>
      <c r="B36" s="81"/>
      <c r="C36" s="92"/>
      <c r="D36" s="31" t="s">
        <v>39</v>
      </c>
      <c r="E36" s="32"/>
      <c r="F36" s="32"/>
      <c r="G36" s="31">
        <f>'سنوات مدیریتی'!I10</f>
        <v>0</v>
      </c>
      <c r="H36" s="92"/>
      <c r="I36" s="107"/>
    </row>
    <row r="37" spans="1:9" ht="17.25">
      <c r="A37" s="54"/>
      <c r="B37" s="81"/>
      <c r="C37" s="92"/>
      <c r="D37" s="31" t="s">
        <v>44</v>
      </c>
      <c r="E37" s="32"/>
      <c r="F37" s="32"/>
      <c r="G37" s="31">
        <f>'سنوات مدیریتی'!I11</f>
        <v>0</v>
      </c>
      <c r="H37" s="92"/>
      <c r="I37" s="107"/>
    </row>
    <row r="38" spans="1:9" ht="17.25">
      <c r="A38" s="54"/>
      <c r="B38" s="81"/>
      <c r="C38" s="92"/>
      <c r="D38" s="31" t="s">
        <v>43</v>
      </c>
      <c r="E38" s="32"/>
      <c r="F38" s="32"/>
      <c r="G38" s="31">
        <f>'سنوات مدیریتی'!I12</f>
        <v>0</v>
      </c>
      <c r="H38" s="92"/>
      <c r="I38" s="107">
        <f>'سنوات مدیریتی'!K12</f>
        <v>0</v>
      </c>
    </row>
    <row r="39" spans="1:9" ht="17.25">
      <c r="A39" s="54"/>
      <c r="B39" s="81"/>
      <c r="C39" s="92"/>
      <c r="D39" s="31" t="s">
        <v>39</v>
      </c>
      <c r="E39" s="32"/>
      <c r="F39" s="32"/>
      <c r="G39" s="31">
        <f>'سنوات مدیریتی'!I13</f>
        <v>0</v>
      </c>
      <c r="H39" s="92"/>
      <c r="I39" s="107"/>
    </row>
    <row r="40" spans="1:9" ht="17.25">
      <c r="A40" s="54"/>
      <c r="B40" s="81"/>
      <c r="C40" s="92"/>
      <c r="D40" s="31" t="s">
        <v>44</v>
      </c>
      <c r="E40" s="32"/>
      <c r="F40" s="32"/>
      <c r="G40" s="31">
        <f>'سنوات مدیریتی'!I14</f>
        <v>0</v>
      </c>
      <c r="H40" s="92"/>
      <c r="I40" s="107"/>
    </row>
    <row r="41" spans="1:9" ht="17.25">
      <c r="A41" s="54"/>
      <c r="B41" s="81"/>
      <c r="C41" s="92"/>
      <c r="D41" s="31" t="s">
        <v>43</v>
      </c>
      <c r="E41" s="32"/>
      <c r="F41" s="32"/>
      <c r="G41" s="31">
        <f>'سنوات مدیریتی'!I15</f>
        <v>0</v>
      </c>
      <c r="H41" s="92"/>
      <c r="I41" s="107">
        <f>'سنوات مدیریتی'!K15</f>
        <v>0</v>
      </c>
    </row>
    <row r="42" spans="1:9" ht="17.25">
      <c r="A42" s="54"/>
      <c r="B42" s="81"/>
      <c r="C42" s="92"/>
      <c r="D42" s="31" t="s">
        <v>39</v>
      </c>
      <c r="E42" s="32"/>
      <c r="F42" s="32"/>
      <c r="G42" s="31">
        <f>'سنوات مدیریتی'!I16</f>
        <v>0</v>
      </c>
      <c r="H42" s="92"/>
      <c r="I42" s="107"/>
    </row>
    <row r="43" spans="1:9" ht="17.25">
      <c r="A43" s="54"/>
      <c r="B43" s="81"/>
      <c r="C43" s="92"/>
      <c r="D43" s="31" t="s">
        <v>44</v>
      </c>
      <c r="E43" s="32"/>
      <c r="F43" s="32"/>
      <c r="G43" s="31">
        <f>'سنوات مدیریتی'!I17</f>
        <v>0</v>
      </c>
      <c r="H43" s="92"/>
      <c r="I43" s="107"/>
    </row>
    <row r="44" spans="1:9" ht="17.25">
      <c r="A44" s="54"/>
      <c r="B44" s="81"/>
      <c r="C44" s="92"/>
      <c r="D44" s="31" t="s">
        <v>43</v>
      </c>
      <c r="E44" s="32"/>
      <c r="F44" s="32"/>
      <c r="G44" s="31">
        <f>'سنوات مدیریتی'!I18</f>
        <v>0</v>
      </c>
      <c r="H44" s="92"/>
      <c r="I44" s="107">
        <f>'سنوات مدیریتی'!K18</f>
        <v>0</v>
      </c>
    </row>
    <row r="45" spans="1:9" ht="17.25">
      <c r="A45" s="54"/>
      <c r="B45" s="81"/>
      <c r="C45" s="92"/>
      <c r="D45" s="31" t="s">
        <v>39</v>
      </c>
      <c r="E45" s="32"/>
      <c r="F45" s="32"/>
      <c r="G45" s="31">
        <f>'سنوات مدیریتی'!I19</f>
        <v>0</v>
      </c>
      <c r="H45" s="92"/>
      <c r="I45" s="107"/>
    </row>
    <row r="46" spans="1:9" ht="17.25">
      <c r="A46" s="54"/>
      <c r="B46" s="81"/>
      <c r="C46" s="92"/>
      <c r="D46" s="31" t="s">
        <v>44</v>
      </c>
      <c r="E46" s="32"/>
      <c r="F46" s="32"/>
      <c r="G46" s="31">
        <f>'سنوات مدیریتی'!I20</f>
        <v>0</v>
      </c>
      <c r="H46" s="92"/>
      <c r="I46" s="107"/>
    </row>
    <row r="47" spans="1:9" ht="17.25">
      <c r="A47" s="54"/>
      <c r="B47" s="81"/>
      <c r="C47" s="92"/>
      <c r="D47" s="31" t="s">
        <v>43</v>
      </c>
      <c r="E47" s="32"/>
      <c r="F47" s="32"/>
      <c r="G47" s="31">
        <f>'سنوات مدیریتی'!I21</f>
        <v>0</v>
      </c>
      <c r="H47" s="92"/>
      <c r="I47" s="107">
        <f>'سنوات مدیریتی'!K21</f>
        <v>0</v>
      </c>
    </row>
    <row r="48" spans="1:9" ht="17.25">
      <c r="A48" s="54"/>
      <c r="B48" s="81"/>
      <c r="C48" s="92"/>
      <c r="D48" s="31" t="s">
        <v>39</v>
      </c>
      <c r="E48" s="32"/>
      <c r="F48" s="32"/>
      <c r="G48" s="31">
        <f>'سنوات مدیریتی'!I22</f>
        <v>0</v>
      </c>
      <c r="H48" s="92"/>
      <c r="I48" s="107"/>
    </row>
    <row r="49" spans="1:9" ht="17.25">
      <c r="A49" s="54"/>
      <c r="B49" s="81"/>
      <c r="C49" s="92"/>
      <c r="D49" s="31" t="s">
        <v>44</v>
      </c>
      <c r="E49" s="32"/>
      <c r="F49" s="32"/>
      <c r="G49" s="31">
        <f>'سنوات مدیریتی'!I23</f>
        <v>0</v>
      </c>
      <c r="H49" s="92"/>
      <c r="I49" s="107"/>
    </row>
    <row r="50" spans="1:9" ht="17.25">
      <c r="A50" s="54"/>
      <c r="B50" s="81"/>
      <c r="C50" s="92"/>
      <c r="D50" s="31" t="s">
        <v>43</v>
      </c>
      <c r="E50" s="32"/>
      <c r="F50" s="32"/>
      <c r="G50" s="31">
        <f>'سنوات مدیریتی'!I24</f>
        <v>0</v>
      </c>
      <c r="H50" s="92"/>
      <c r="I50" s="107">
        <f>'سنوات مدیریتی'!K24</f>
        <v>0</v>
      </c>
    </row>
    <row r="51" spans="1:9" ht="17.25">
      <c r="A51" s="54"/>
      <c r="B51" s="81"/>
      <c r="C51" s="92"/>
      <c r="D51" s="31" t="s">
        <v>39</v>
      </c>
      <c r="E51" s="32"/>
      <c r="F51" s="32"/>
      <c r="G51" s="31">
        <f>'سنوات مدیریتی'!I25</f>
        <v>0</v>
      </c>
      <c r="H51" s="92"/>
      <c r="I51" s="107"/>
    </row>
    <row r="52" spans="1:9" ht="17.25">
      <c r="A52" s="54"/>
      <c r="B52" s="81"/>
      <c r="C52" s="92"/>
      <c r="D52" s="31" t="s">
        <v>44</v>
      </c>
      <c r="E52" s="32"/>
      <c r="F52" s="32"/>
      <c r="G52" s="31">
        <f>'سنوات مدیریتی'!I26</f>
        <v>0</v>
      </c>
      <c r="H52" s="92"/>
      <c r="I52" s="107"/>
    </row>
    <row r="53" spans="1:9" ht="17.25">
      <c r="A53" s="54"/>
      <c r="B53" s="81"/>
      <c r="C53" s="92"/>
      <c r="D53" s="31" t="s">
        <v>43</v>
      </c>
      <c r="E53" s="32"/>
      <c r="F53" s="32"/>
      <c r="G53" s="31">
        <f>'سنوات مدیریتی'!I27</f>
        <v>0</v>
      </c>
      <c r="H53" s="92"/>
      <c r="I53" s="107">
        <f>'سنوات مدیریتی'!K27</f>
        <v>0</v>
      </c>
    </row>
    <row r="54" spans="1:9" ht="17.25">
      <c r="A54" s="54"/>
      <c r="B54" s="81"/>
      <c r="C54" s="92"/>
      <c r="D54" s="31" t="s">
        <v>39</v>
      </c>
      <c r="E54" s="32"/>
      <c r="F54" s="32"/>
      <c r="G54" s="31">
        <f>'سنوات مدیریتی'!I28</f>
        <v>0</v>
      </c>
      <c r="H54" s="92"/>
      <c r="I54" s="107"/>
    </row>
    <row r="55" spans="1:9" ht="17.25">
      <c r="A55" s="54"/>
      <c r="B55" s="81"/>
      <c r="C55" s="92"/>
      <c r="D55" s="31" t="s">
        <v>44</v>
      </c>
      <c r="E55" s="32"/>
      <c r="F55" s="32"/>
      <c r="G55" s="31">
        <f>'سنوات مدیریتی'!I29</f>
        <v>0</v>
      </c>
      <c r="H55" s="92"/>
      <c r="I55" s="107"/>
    </row>
    <row r="56" spans="1:9" ht="17.25">
      <c r="A56" s="54"/>
      <c r="B56" s="81"/>
      <c r="C56" s="92"/>
      <c r="D56" s="31" t="s">
        <v>43</v>
      </c>
      <c r="E56" s="32"/>
      <c r="F56" s="32"/>
      <c r="G56" s="31">
        <f>'سنوات مدیریتی'!I30</f>
        <v>0</v>
      </c>
      <c r="H56" s="92"/>
      <c r="I56" s="107">
        <f>'سنوات مدیریتی'!K30</f>
        <v>0</v>
      </c>
    </row>
    <row r="57" spans="1:9" ht="17.25">
      <c r="A57" s="54"/>
      <c r="B57" s="81"/>
      <c r="C57" s="92"/>
      <c r="D57" s="31" t="s">
        <v>39</v>
      </c>
      <c r="E57" s="32"/>
      <c r="F57" s="32"/>
      <c r="G57" s="31">
        <f>'سنوات مدیریتی'!I31</f>
        <v>0</v>
      </c>
      <c r="H57" s="92"/>
      <c r="I57" s="107"/>
    </row>
    <row r="58" spans="1:9" ht="17.25">
      <c r="A58" s="54"/>
      <c r="B58" s="81"/>
      <c r="C58" s="92"/>
      <c r="D58" s="31" t="s">
        <v>44</v>
      </c>
      <c r="E58" s="32"/>
      <c r="F58" s="32"/>
      <c r="G58" s="31">
        <f>'سنوات مدیریتی'!I32</f>
        <v>0</v>
      </c>
      <c r="H58" s="92"/>
      <c r="I58" s="107"/>
    </row>
    <row r="59" spans="1:9" ht="17.25">
      <c r="A59" s="54"/>
      <c r="B59" s="81"/>
      <c r="C59" s="92"/>
      <c r="D59" s="31" t="s">
        <v>43</v>
      </c>
      <c r="E59" s="32"/>
      <c r="F59" s="32"/>
      <c r="G59" s="31">
        <f>'سنوات مدیریتی'!I33</f>
        <v>0</v>
      </c>
      <c r="H59" s="92"/>
      <c r="I59" s="107">
        <f>'سنوات مدیریتی'!K33</f>
        <v>0</v>
      </c>
    </row>
    <row r="60" spans="1:9" ht="17.25">
      <c r="A60" s="54"/>
      <c r="B60" s="81"/>
      <c r="C60" s="92"/>
      <c r="D60" s="31" t="s">
        <v>39</v>
      </c>
      <c r="E60" s="32"/>
      <c r="F60" s="32"/>
      <c r="G60" s="31">
        <f>'سنوات مدیریتی'!I34</f>
        <v>0</v>
      </c>
      <c r="H60" s="92"/>
      <c r="I60" s="107"/>
    </row>
    <row r="61" spans="1:9" ht="17.25">
      <c r="A61" s="54"/>
      <c r="B61" s="82"/>
      <c r="C61" s="92"/>
      <c r="D61" s="31" t="s">
        <v>44</v>
      </c>
      <c r="E61" s="32"/>
      <c r="F61" s="32"/>
      <c r="G61" s="31">
        <f>'سنوات مدیریتی'!I35</f>
        <v>0</v>
      </c>
      <c r="H61" s="92"/>
      <c r="I61" s="107"/>
    </row>
    <row r="62" spans="1:9" ht="17.25">
      <c r="A62" s="54"/>
      <c r="B62" s="99" t="s">
        <v>88</v>
      </c>
      <c r="C62" s="99"/>
      <c r="D62" s="99"/>
      <c r="E62" s="100">
        <f>'سنوات مدیریتی'!I38</f>
        <v>0</v>
      </c>
      <c r="F62" s="100"/>
      <c r="G62" s="100"/>
      <c r="H62" s="100"/>
      <c r="I62" s="100"/>
    </row>
    <row r="63" spans="1:9" ht="17.25">
      <c r="A63" s="54"/>
      <c r="B63" s="54"/>
      <c r="C63" s="54"/>
      <c r="D63" s="54"/>
      <c r="E63" s="54"/>
      <c r="F63" s="54"/>
      <c r="G63" s="54"/>
      <c r="H63" s="54"/>
      <c r="I63" s="54"/>
    </row>
    <row r="64" spans="1:9" ht="17.25">
      <c r="A64" s="54"/>
      <c r="B64" s="87" t="s">
        <v>91</v>
      </c>
      <c r="C64" s="31" t="s">
        <v>42</v>
      </c>
      <c r="D64" s="31"/>
      <c r="E64" s="31" t="s">
        <v>84</v>
      </c>
      <c r="F64" s="31" t="s">
        <v>85</v>
      </c>
      <c r="G64" s="31" t="s">
        <v>86</v>
      </c>
      <c r="H64" s="31" t="s">
        <v>90</v>
      </c>
      <c r="I64" s="31" t="s">
        <v>40</v>
      </c>
    </row>
    <row r="65" spans="1:9" ht="17.25">
      <c r="A65" s="54"/>
      <c r="B65" s="87"/>
      <c r="C65" s="54"/>
      <c r="D65" s="31" t="s">
        <v>43</v>
      </c>
      <c r="E65" s="37"/>
      <c r="F65" s="37"/>
      <c r="G65" s="36">
        <f>'عضویت در کارگروه'!G4</f>
        <v>0</v>
      </c>
      <c r="H65" s="92" t="s">
        <v>46</v>
      </c>
      <c r="I65" s="91">
        <f>'عضویت در کارگروه'!I4</f>
        <v>0</v>
      </c>
    </row>
    <row r="66" spans="1:9" ht="17.25">
      <c r="A66" s="54"/>
      <c r="B66" s="87"/>
      <c r="C66" s="54"/>
      <c r="D66" s="31" t="s">
        <v>83</v>
      </c>
      <c r="E66" s="37"/>
      <c r="F66" s="37"/>
      <c r="G66" s="36">
        <f>'عضویت در کارگروه'!G5</f>
        <v>0</v>
      </c>
      <c r="H66" s="92"/>
      <c r="I66" s="91"/>
    </row>
    <row r="67" spans="1:9" ht="17.25">
      <c r="A67" s="54"/>
      <c r="B67" s="87"/>
      <c r="C67" s="54"/>
      <c r="D67" s="31" t="s">
        <v>44</v>
      </c>
      <c r="E67" s="37"/>
      <c r="F67" s="37"/>
      <c r="G67" s="36">
        <f>'عضویت در کارگروه'!G6</f>
        <v>0</v>
      </c>
      <c r="H67" s="92"/>
      <c r="I67" s="91"/>
    </row>
    <row r="68" spans="1:9" ht="17.25">
      <c r="A68" s="54"/>
      <c r="B68" s="87"/>
      <c r="C68" s="54"/>
      <c r="D68" s="31" t="s">
        <v>43</v>
      </c>
      <c r="E68" s="37"/>
      <c r="F68" s="37"/>
      <c r="G68" s="36">
        <f>'عضویت در کارگروه'!G7</f>
        <v>0</v>
      </c>
      <c r="H68" s="92"/>
      <c r="I68" s="91">
        <f>'عضویت در کارگروه'!I7</f>
        <v>0</v>
      </c>
    </row>
    <row r="69" spans="1:9" ht="17.25">
      <c r="A69" s="54"/>
      <c r="B69" s="87"/>
      <c r="C69" s="54"/>
      <c r="D69" s="31" t="s">
        <v>83</v>
      </c>
      <c r="E69" s="37"/>
      <c r="F69" s="37"/>
      <c r="G69" s="36">
        <f>'عضویت در کارگروه'!G8</f>
        <v>0</v>
      </c>
      <c r="H69" s="92"/>
      <c r="I69" s="91"/>
    </row>
    <row r="70" spans="1:9" ht="17.25">
      <c r="A70" s="54"/>
      <c r="B70" s="87"/>
      <c r="C70" s="54"/>
      <c r="D70" s="31" t="s">
        <v>44</v>
      </c>
      <c r="E70" s="37"/>
      <c r="F70" s="37"/>
      <c r="G70" s="36">
        <f>'عضویت در کارگروه'!G9</f>
        <v>0</v>
      </c>
      <c r="H70" s="92"/>
      <c r="I70" s="91"/>
    </row>
    <row r="71" spans="1:9" ht="17.25">
      <c r="A71" s="54"/>
      <c r="B71" s="87"/>
      <c r="C71" s="54"/>
      <c r="D71" s="31" t="s">
        <v>43</v>
      </c>
      <c r="E71" s="37"/>
      <c r="F71" s="37"/>
      <c r="G71" s="36">
        <f>'عضویت در کارگروه'!G10</f>
        <v>0</v>
      </c>
      <c r="H71" s="92"/>
      <c r="I71" s="91">
        <f>'عضویت در کارگروه'!I10</f>
        <v>0</v>
      </c>
    </row>
    <row r="72" spans="1:9" ht="17.25">
      <c r="A72" s="54"/>
      <c r="B72" s="87"/>
      <c r="C72" s="54"/>
      <c r="D72" s="31" t="s">
        <v>83</v>
      </c>
      <c r="E72" s="37"/>
      <c r="F72" s="37"/>
      <c r="G72" s="36">
        <f>'عضویت در کارگروه'!G11</f>
        <v>0</v>
      </c>
      <c r="H72" s="92"/>
      <c r="I72" s="91"/>
    </row>
    <row r="73" spans="1:9" ht="17.25">
      <c r="A73" s="54"/>
      <c r="B73" s="87"/>
      <c r="C73" s="54"/>
      <c r="D73" s="31" t="s">
        <v>44</v>
      </c>
      <c r="E73" s="37"/>
      <c r="F73" s="37"/>
      <c r="G73" s="36">
        <f>'عضویت در کارگروه'!G12</f>
        <v>0</v>
      </c>
      <c r="H73" s="92"/>
      <c r="I73" s="91"/>
    </row>
    <row r="74" spans="1:9" ht="17.25">
      <c r="A74" s="54"/>
      <c r="B74" s="87"/>
      <c r="C74" s="54"/>
      <c r="D74" s="31" t="s">
        <v>43</v>
      </c>
      <c r="E74" s="37"/>
      <c r="F74" s="37"/>
      <c r="G74" s="36">
        <f>'عضویت در کارگروه'!G13</f>
        <v>0</v>
      </c>
      <c r="H74" s="92"/>
      <c r="I74" s="91">
        <f>'عضویت در کارگروه'!I13</f>
        <v>0</v>
      </c>
    </row>
    <row r="75" spans="1:9" ht="17.25">
      <c r="A75" s="54"/>
      <c r="B75" s="87"/>
      <c r="C75" s="54"/>
      <c r="D75" s="31" t="s">
        <v>83</v>
      </c>
      <c r="E75" s="37"/>
      <c r="F75" s="37"/>
      <c r="G75" s="36">
        <f>'عضویت در کارگروه'!G14</f>
        <v>0</v>
      </c>
      <c r="H75" s="92"/>
      <c r="I75" s="91"/>
    </row>
    <row r="76" spans="1:9" ht="17.25">
      <c r="A76" s="54"/>
      <c r="B76" s="87"/>
      <c r="C76" s="54"/>
      <c r="D76" s="31" t="s">
        <v>44</v>
      </c>
      <c r="E76" s="37"/>
      <c r="F76" s="37"/>
      <c r="G76" s="36">
        <f>'عضویت در کارگروه'!G15</f>
        <v>0</v>
      </c>
      <c r="H76" s="92"/>
      <c r="I76" s="91"/>
    </row>
    <row r="77" spans="1:9" ht="17.25">
      <c r="A77" s="54"/>
      <c r="B77" s="87"/>
      <c r="C77" s="54"/>
      <c r="D77" s="31" t="s">
        <v>43</v>
      </c>
      <c r="E77" s="37"/>
      <c r="F77" s="37"/>
      <c r="G77" s="36">
        <f>'عضویت در کارگروه'!G16</f>
        <v>0</v>
      </c>
      <c r="H77" s="92"/>
      <c r="I77" s="91">
        <f>'عضویت در کارگروه'!I16</f>
        <v>0</v>
      </c>
    </row>
    <row r="78" spans="1:9" ht="17.25">
      <c r="A78" s="54"/>
      <c r="B78" s="87"/>
      <c r="C78" s="54"/>
      <c r="D78" s="31" t="s">
        <v>83</v>
      </c>
      <c r="E78" s="37"/>
      <c r="F78" s="37"/>
      <c r="G78" s="36">
        <f>'عضویت در کارگروه'!G17</f>
        <v>0</v>
      </c>
      <c r="H78" s="92"/>
      <c r="I78" s="91"/>
    </row>
    <row r="79" spans="1:9" ht="17.25">
      <c r="A79" s="54"/>
      <c r="B79" s="87"/>
      <c r="C79" s="54"/>
      <c r="D79" s="31" t="s">
        <v>44</v>
      </c>
      <c r="E79" s="37"/>
      <c r="F79" s="37"/>
      <c r="G79" s="36">
        <f>'عضویت در کارگروه'!G18</f>
        <v>0</v>
      </c>
      <c r="H79" s="92"/>
      <c r="I79" s="91"/>
    </row>
    <row r="80" spans="1:9" ht="17.25">
      <c r="A80" s="54"/>
      <c r="B80" s="87"/>
      <c r="C80" s="54"/>
      <c r="D80" s="31" t="s">
        <v>43</v>
      </c>
      <c r="E80" s="37"/>
      <c r="F80" s="37"/>
      <c r="G80" s="36">
        <f>'عضویت در کارگروه'!G19</f>
        <v>0</v>
      </c>
      <c r="H80" s="92"/>
      <c r="I80" s="91">
        <f>'عضویت در کارگروه'!I19</f>
        <v>0</v>
      </c>
    </row>
    <row r="81" spans="1:9" ht="17.25">
      <c r="A81" s="54"/>
      <c r="B81" s="87"/>
      <c r="C81" s="54"/>
      <c r="D81" s="31" t="s">
        <v>83</v>
      </c>
      <c r="E81" s="37"/>
      <c r="F81" s="37"/>
      <c r="G81" s="36">
        <f>'عضویت در کارگروه'!G20</f>
        <v>0</v>
      </c>
      <c r="H81" s="92"/>
      <c r="I81" s="91"/>
    </row>
    <row r="82" spans="1:9" ht="17.25">
      <c r="A82" s="54"/>
      <c r="B82" s="87"/>
      <c r="C82" s="54"/>
      <c r="D82" s="31" t="s">
        <v>44</v>
      </c>
      <c r="E82" s="37"/>
      <c r="F82" s="37"/>
      <c r="G82" s="36">
        <f>'عضویت در کارگروه'!G21</f>
        <v>0</v>
      </c>
      <c r="H82" s="92"/>
      <c r="I82" s="91"/>
    </row>
    <row r="83" spans="1:9" ht="17.25">
      <c r="A83" s="54"/>
      <c r="B83" s="87"/>
      <c r="C83" s="54"/>
      <c r="D83" s="31" t="s">
        <v>43</v>
      </c>
      <c r="E83" s="37"/>
      <c r="F83" s="37"/>
      <c r="G83" s="36">
        <f>'عضویت در کارگروه'!G22</f>
        <v>0</v>
      </c>
      <c r="H83" s="92"/>
      <c r="I83" s="91">
        <f>'عضویت در کارگروه'!I22</f>
        <v>0</v>
      </c>
    </row>
    <row r="84" spans="1:9" ht="17.25">
      <c r="A84" s="54"/>
      <c r="B84" s="87"/>
      <c r="C84" s="54"/>
      <c r="D84" s="31" t="s">
        <v>83</v>
      </c>
      <c r="E84" s="37"/>
      <c r="F84" s="37"/>
      <c r="G84" s="36">
        <f>'عضویت در کارگروه'!G23</f>
        <v>0</v>
      </c>
      <c r="H84" s="92"/>
      <c r="I84" s="91"/>
    </row>
    <row r="85" spans="1:9" ht="17.25">
      <c r="A85" s="54"/>
      <c r="B85" s="87"/>
      <c r="C85" s="54"/>
      <c r="D85" s="31" t="s">
        <v>44</v>
      </c>
      <c r="E85" s="37"/>
      <c r="F85" s="37"/>
      <c r="G85" s="36">
        <f>'عضویت در کارگروه'!G24</f>
        <v>0</v>
      </c>
      <c r="H85" s="92"/>
      <c r="I85" s="91"/>
    </row>
    <row r="86" spans="1:9" ht="17.25">
      <c r="A86" s="54"/>
      <c r="B86" s="87"/>
      <c r="C86" s="54"/>
      <c r="D86" s="31" t="s">
        <v>43</v>
      </c>
      <c r="E86" s="37"/>
      <c r="F86" s="37"/>
      <c r="G86" s="36">
        <f>'عضویت در کارگروه'!G25</f>
        <v>0</v>
      </c>
      <c r="H86" s="92"/>
      <c r="I86" s="91">
        <f>'عضویت در کارگروه'!I25</f>
        <v>0</v>
      </c>
    </row>
    <row r="87" spans="1:9" ht="17.25">
      <c r="A87" s="54"/>
      <c r="B87" s="87"/>
      <c r="C87" s="54"/>
      <c r="D87" s="31" t="s">
        <v>83</v>
      </c>
      <c r="E87" s="37"/>
      <c r="F87" s="37"/>
      <c r="G87" s="36">
        <f>'عضویت در کارگروه'!G26</f>
        <v>0</v>
      </c>
      <c r="H87" s="92"/>
      <c r="I87" s="91"/>
    </row>
    <row r="88" spans="1:9" ht="17.25">
      <c r="A88" s="54"/>
      <c r="B88" s="87"/>
      <c r="C88" s="54"/>
      <c r="D88" s="31" t="s">
        <v>44</v>
      </c>
      <c r="E88" s="37"/>
      <c r="F88" s="37"/>
      <c r="G88" s="36">
        <f>'عضویت در کارگروه'!G27</f>
        <v>0</v>
      </c>
      <c r="H88" s="92"/>
      <c r="I88" s="91"/>
    </row>
    <row r="89" spans="1:9" ht="17.25">
      <c r="A89" s="54"/>
      <c r="B89" s="87"/>
      <c r="C89" s="48"/>
      <c r="D89" s="31" t="s">
        <v>43</v>
      </c>
      <c r="E89" s="37"/>
      <c r="F89" s="37"/>
      <c r="G89" s="36">
        <f>'عضویت در کارگروه'!G28</f>
        <v>0</v>
      </c>
      <c r="H89" s="45"/>
      <c r="I89" s="51">
        <f>'عضویت در کارگروه'!I28</f>
        <v>0</v>
      </c>
    </row>
    <row r="90" spans="1:9" ht="17.25">
      <c r="A90" s="54"/>
      <c r="B90" s="87"/>
      <c r="C90" s="49"/>
      <c r="D90" s="31" t="s">
        <v>83</v>
      </c>
      <c r="E90" s="37"/>
      <c r="F90" s="37"/>
      <c r="G90" s="36">
        <f>'عضویت در کارگروه'!G29</f>
        <v>0</v>
      </c>
      <c r="H90" s="46"/>
      <c r="I90" s="52"/>
    </row>
    <row r="91" spans="1:9" ht="17.25">
      <c r="A91" s="54"/>
      <c r="B91" s="87"/>
      <c r="C91" s="50"/>
      <c r="D91" s="31" t="s">
        <v>44</v>
      </c>
      <c r="E91" s="37"/>
      <c r="F91" s="37"/>
      <c r="G91" s="36">
        <f>'عضویت در کارگروه'!G30</f>
        <v>0</v>
      </c>
      <c r="H91" s="47"/>
      <c r="I91" s="53"/>
    </row>
    <row r="92" spans="1:9" ht="17.25">
      <c r="A92" s="54"/>
      <c r="B92" s="87"/>
      <c r="C92" s="48"/>
      <c r="D92" s="31" t="s">
        <v>43</v>
      </c>
      <c r="E92" s="37"/>
      <c r="F92" s="37"/>
      <c r="G92" s="36">
        <f>'عضویت در کارگروه'!G31</f>
        <v>0</v>
      </c>
      <c r="H92" s="45"/>
      <c r="I92" s="51">
        <f>'عضویت در کارگروه'!I31</f>
        <v>0</v>
      </c>
    </row>
    <row r="93" spans="1:9" ht="17.25">
      <c r="A93" s="54"/>
      <c r="B93" s="87"/>
      <c r="C93" s="49"/>
      <c r="D93" s="31" t="s">
        <v>83</v>
      </c>
      <c r="E93" s="37"/>
      <c r="F93" s="37"/>
      <c r="G93" s="36">
        <f>'عضویت در کارگروه'!G32</f>
        <v>0</v>
      </c>
      <c r="H93" s="46"/>
      <c r="I93" s="52"/>
    </row>
    <row r="94" spans="1:9" ht="17.25">
      <c r="A94" s="54"/>
      <c r="B94" s="87"/>
      <c r="C94" s="50"/>
      <c r="D94" s="31" t="s">
        <v>44</v>
      </c>
      <c r="E94" s="37"/>
      <c r="F94" s="37"/>
      <c r="G94" s="36">
        <f>'عضویت در کارگروه'!G33</f>
        <v>0</v>
      </c>
      <c r="H94" s="47"/>
      <c r="I94" s="53"/>
    </row>
    <row r="95" spans="1:9" ht="17.25">
      <c r="A95" s="54"/>
      <c r="B95" s="87"/>
      <c r="C95" s="48"/>
      <c r="D95" s="31" t="s">
        <v>43</v>
      </c>
      <c r="E95" s="37"/>
      <c r="F95" s="37"/>
      <c r="G95" s="36">
        <f>'عضویت در کارگروه'!G34</f>
        <v>0</v>
      </c>
      <c r="H95" s="45"/>
      <c r="I95" s="51">
        <f>'عضویت در کارگروه'!I34</f>
        <v>0</v>
      </c>
    </row>
    <row r="96" spans="1:9" ht="17.25">
      <c r="A96" s="54"/>
      <c r="B96" s="87"/>
      <c r="C96" s="49"/>
      <c r="D96" s="31" t="s">
        <v>83</v>
      </c>
      <c r="E96" s="37"/>
      <c r="F96" s="37"/>
      <c r="G96" s="36">
        <f>'عضویت در کارگروه'!G35</f>
        <v>0</v>
      </c>
      <c r="H96" s="46"/>
      <c r="I96" s="52"/>
    </row>
    <row r="97" spans="1:9" ht="17.25">
      <c r="A97" s="54"/>
      <c r="B97" s="87"/>
      <c r="C97" s="50"/>
      <c r="D97" s="31" t="s">
        <v>44</v>
      </c>
      <c r="E97" s="37"/>
      <c r="F97" s="37"/>
      <c r="G97" s="36">
        <f>'عضویت در کارگروه'!G36</f>
        <v>0</v>
      </c>
      <c r="H97" s="47"/>
      <c r="I97" s="53"/>
    </row>
    <row r="98" spans="1:9" ht="17.25">
      <c r="A98" s="54"/>
      <c r="B98" s="85" t="s">
        <v>88</v>
      </c>
      <c r="C98" s="85"/>
      <c r="D98" s="85"/>
      <c r="E98" s="90">
        <f>'عضویت در کارگروه'!L18</f>
        <v>0</v>
      </c>
      <c r="F98" s="90"/>
      <c r="G98" s="90"/>
      <c r="H98" s="90"/>
      <c r="I98" s="90"/>
    </row>
    <row r="99" spans="1:9" ht="17.25">
      <c r="A99" s="83" t="s">
        <v>94</v>
      </c>
      <c r="B99" s="83"/>
      <c r="C99" s="83"/>
      <c r="D99" s="89">
        <f>E98+E62+D32</f>
        <v>335.4246575342466</v>
      </c>
      <c r="E99" s="83"/>
      <c r="F99" s="83"/>
      <c r="G99" s="83"/>
      <c r="H99" s="83"/>
      <c r="I99" s="83"/>
    </row>
    <row r="100" spans="1:9" ht="17.25">
      <c r="A100" s="54" t="s">
        <v>95</v>
      </c>
      <c r="B100" s="54"/>
      <c r="C100" s="54"/>
      <c r="D100" s="54"/>
      <c r="E100" s="54"/>
      <c r="F100" s="54"/>
      <c r="G100" s="54"/>
      <c r="H100" s="54"/>
      <c r="I100" s="54"/>
    </row>
    <row r="101" spans="1:9" ht="17.25">
      <c r="A101" s="54"/>
      <c r="B101" s="86" t="s">
        <v>98</v>
      </c>
      <c r="C101" s="54" t="s">
        <v>33</v>
      </c>
      <c r="D101" s="54"/>
      <c r="E101" s="54"/>
      <c r="F101" s="54"/>
      <c r="G101" s="54" t="s">
        <v>93</v>
      </c>
      <c r="H101" s="54"/>
      <c r="I101" s="54"/>
    </row>
    <row r="102" spans="1:9" ht="17.25">
      <c r="A102" s="54"/>
      <c r="B102" s="87"/>
      <c r="C102" s="88" t="str">
        <f>G4</f>
        <v>مهارتی</v>
      </c>
      <c r="D102" s="88"/>
      <c r="E102" s="88"/>
      <c r="F102" s="88"/>
      <c r="G102" s="55">
        <v>0</v>
      </c>
      <c r="H102" s="55"/>
      <c r="I102" s="55"/>
    </row>
    <row r="103" spans="1:9" ht="17.25">
      <c r="A103" s="54"/>
      <c r="B103" s="87"/>
      <c r="C103" s="54" t="s">
        <v>92</v>
      </c>
      <c r="D103" s="54"/>
      <c r="E103" s="54"/>
      <c r="F103" s="54"/>
      <c r="G103" s="54" t="s">
        <v>96</v>
      </c>
      <c r="H103" s="54"/>
      <c r="I103" s="54"/>
    </row>
    <row r="104" spans="1:9" ht="17.25">
      <c r="A104" s="54"/>
      <c r="B104" s="87"/>
      <c r="C104" s="88">
        <f>'دوره های آموزشی گذرانده شده'!F2</f>
        <v>213</v>
      </c>
      <c r="D104" s="88"/>
      <c r="E104" s="88"/>
      <c r="F104" s="88"/>
      <c r="G104" s="54">
        <f>'دوره های اموزشی'!E15</f>
        <v>127.8</v>
      </c>
      <c r="H104" s="54"/>
      <c r="I104" s="54"/>
    </row>
    <row r="105" spans="1:11" ht="17.25">
      <c r="A105" s="54"/>
      <c r="B105" s="106" t="s">
        <v>125</v>
      </c>
      <c r="C105" s="106"/>
      <c r="D105" s="106"/>
      <c r="E105" s="104">
        <f>'دوره های اموزشی'!C22</f>
        <v>36</v>
      </c>
      <c r="F105" s="104"/>
      <c r="G105" s="104"/>
      <c r="H105" s="104"/>
      <c r="I105" s="105"/>
      <c r="J105" s="28" t="s">
        <v>126</v>
      </c>
      <c r="K105" s="28">
        <f>G104-E105</f>
        <v>91.8</v>
      </c>
    </row>
    <row r="106" spans="1:9" ht="17.25">
      <c r="A106" s="54"/>
      <c r="B106" s="54"/>
      <c r="C106" s="54"/>
      <c r="D106" s="54"/>
      <c r="E106" s="54"/>
      <c r="F106" s="54"/>
      <c r="G106" s="54"/>
      <c r="H106" s="54"/>
      <c r="I106" s="54"/>
    </row>
    <row r="107" spans="1:9" ht="17.25">
      <c r="A107" s="54"/>
      <c r="B107" s="80" t="s">
        <v>99</v>
      </c>
      <c r="C107" s="66" t="s">
        <v>147</v>
      </c>
      <c r="D107" s="67"/>
      <c r="E107" s="68"/>
      <c r="F107" s="38" t="s">
        <v>148</v>
      </c>
      <c r="G107" s="38" t="s">
        <v>149</v>
      </c>
      <c r="H107" s="38" t="s">
        <v>40</v>
      </c>
      <c r="I107" s="38" t="s">
        <v>88</v>
      </c>
    </row>
    <row r="108" spans="1:9" ht="17.25">
      <c r="A108" s="54"/>
      <c r="B108" s="81"/>
      <c r="C108" s="66" t="s">
        <v>172</v>
      </c>
      <c r="D108" s="67"/>
      <c r="E108" s="68"/>
      <c r="F108" s="38" t="s">
        <v>171</v>
      </c>
      <c r="G108" s="36" t="s">
        <v>170</v>
      </c>
      <c r="H108" s="38">
        <f>'آموزش به همکاران'!B6</f>
        <v>3</v>
      </c>
      <c r="I108" s="75">
        <f>'آموزش به همکاران'!D2</f>
        <v>3</v>
      </c>
    </row>
    <row r="109" spans="1:9" ht="17.25">
      <c r="A109" s="54"/>
      <c r="B109" s="81"/>
      <c r="C109" s="66"/>
      <c r="D109" s="67"/>
      <c r="E109" s="68"/>
      <c r="F109" s="38"/>
      <c r="G109" s="36"/>
      <c r="H109" s="38">
        <f>'آموزش به همکاران'!B7</f>
        <v>0</v>
      </c>
      <c r="I109" s="76"/>
    </row>
    <row r="110" spans="1:9" ht="17.25">
      <c r="A110" s="54"/>
      <c r="B110" s="81"/>
      <c r="C110" s="66"/>
      <c r="D110" s="67"/>
      <c r="E110" s="68"/>
      <c r="F110" s="38"/>
      <c r="G110" s="36"/>
      <c r="H110" s="38">
        <f>'آموزش به همکاران'!B8</f>
        <v>0</v>
      </c>
      <c r="I110" s="76"/>
    </row>
    <row r="111" spans="1:9" ht="17.25">
      <c r="A111" s="54"/>
      <c r="B111" s="81"/>
      <c r="C111" s="66"/>
      <c r="D111" s="67"/>
      <c r="E111" s="68"/>
      <c r="F111" s="38"/>
      <c r="G111" s="36"/>
      <c r="H111" s="38">
        <f>'آموزش به همکاران'!B9</f>
        <v>0</v>
      </c>
      <c r="I111" s="76"/>
    </row>
    <row r="112" spans="1:9" ht="17.25">
      <c r="A112" s="54"/>
      <c r="B112" s="81"/>
      <c r="C112" s="66"/>
      <c r="D112" s="67"/>
      <c r="E112" s="68"/>
      <c r="F112" s="38"/>
      <c r="G112" s="36"/>
      <c r="H112" s="38">
        <f>'آموزش به همکاران'!B10</f>
        <v>0</v>
      </c>
      <c r="I112" s="76"/>
    </row>
    <row r="113" spans="1:9" ht="17.25">
      <c r="A113" s="54"/>
      <c r="B113" s="81"/>
      <c r="C113" s="66"/>
      <c r="D113" s="67"/>
      <c r="E113" s="68"/>
      <c r="F113" s="39"/>
      <c r="G113" s="40"/>
      <c r="H113" s="38">
        <f>'آموزش به همکاران'!B11</f>
        <v>0</v>
      </c>
      <c r="I113" s="76"/>
    </row>
    <row r="114" spans="1:9" ht="17.25">
      <c r="A114" s="54"/>
      <c r="B114" s="82"/>
      <c r="C114" s="66"/>
      <c r="D114" s="67"/>
      <c r="E114" s="68"/>
      <c r="F114" s="39"/>
      <c r="G114" s="40"/>
      <c r="H114" s="38">
        <f>'آموزش به همکاران'!B12</f>
        <v>0</v>
      </c>
      <c r="I114" s="77"/>
    </row>
    <row r="115" spans="1:11" ht="17.25">
      <c r="A115" s="54"/>
      <c r="B115" s="85" t="s">
        <v>125</v>
      </c>
      <c r="C115" s="85"/>
      <c r="D115" s="85"/>
      <c r="E115" s="85">
        <f>'آموزش به همکاران'!F11</f>
        <v>3</v>
      </c>
      <c r="F115" s="85"/>
      <c r="G115" s="85"/>
      <c r="H115" s="85"/>
      <c r="I115" s="85"/>
      <c r="J115" s="28" t="s">
        <v>126</v>
      </c>
      <c r="K115" s="28">
        <f>I108-E115</f>
        <v>0</v>
      </c>
    </row>
    <row r="116" spans="1:9" ht="17.25">
      <c r="A116" s="54"/>
      <c r="B116" s="54"/>
      <c r="C116" s="54"/>
      <c r="D116" s="54"/>
      <c r="E116" s="54"/>
      <c r="F116" s="54"/>
      <c r="G116" s="54"/>
      <c r="H116" s="54"/>
      <c r="I116" s="54"/>
    </row>
    <row r="117" spans="1:9" ht="17.25">
      <c r="A117" s="54"/>
      <c r="B117" s="86" t="s">
        <v>102</v>
      </c>
      <c r="C117" s="54" t="s">
        <v>100</v>
      </c>
      <c r="D117" s="54"/>
      <c r="E117" s="54"/>
      <c r="F117" s="54" t="s">
        <v>101</v>
      </c>
      <c r="G117" s="54"/>
      <c r="H117" s="54" t="s">
        <v>40</v>
      </c>
      <c r="I117" s="54"/>
    </row>
    <row r="118" spans="1:9" ht="17.25">
      <c r="A118" s="54"/>
      <c r="B118" s="87"/>
      <c r="C118" s="54" t="s">
        <v>64</v>
      </c>
      <c r="D118" s="54"/>
      <c r="E118" s="54"/>
      <c r="F118" s="55" t="s">
        <v>173</v>
      </c>
      <c r="G118" s="55"/>
      <c r="H118" s="54">
        <f>مهارت!C3</f>
        <v>0</v>
      </c>
      <c r="I118" s="54"/>
    </row>
    <row r="119" spans="1:9" ht="17.25">
      <c r="A119" s="54"/>
      <c r="B119" s="87"/>
      <c r="C119" s="54" t="s">
        <v>65</v>
      </c>
      <c r="D119" s="54"/>
      <c r="E119" s="54"/>
      <c r="F119" s="55" t="s">
        <v>170</v>
      </c>
      <c r="G119" s="55"/>
      <c r="H119" s="54">
        <f>مهارت!C4</f>
        <v>1.42</v>
      </c>
      <c r="I119" s="54"/>
    </row>
    <row r="120" spans="1:9" ht="17.25">
      <c r="A120" s="54"/>
      <c r="B120" s="87"/>
      <c r="C120" s="54" t="s">
        <v>66</v>
      </c>
      <c r="D120" s="54"/>
      <c r="E120" s="54"/>
      <c r="F120" s="55" t="s">
        <v>170</v>
      </c>
      <c r="G120" s="55"/>
      <c r="H120" s="54"/>
      <c r="I120" s="54"/>
    </row>
    <row r="121" spans="1:9" ht="17.25">
      <c r="A121" s="54"/>
      <c r="B121" s="87"/>
      <c r="C121" s="54" t="s">
        <v>67</v>
      </c>
      <c r="D121" s="54"/>
      <c r="E121" s="54"/>
      <c r="F121" s="55" t="s">
        <v>170</v>
      </c>
      <c r="G121" s="55"/>
      <c r="H121" s="54">
        <f>مهارت!C6</f>
        <v>4.84</v>
      </c>
      <c r="I121" s="54"/>
    </row>
    <row r="122" spans="1:9" ht="17.25">
      <c r="A122" s="54"/>
      <c r="B122" s="87"/>
      <c r="C122" s="54" t="s">
        <v>68</v>
      </c>
      <c r="D122" s="54"/>
      <c r="E122" s="54"/>
      <c r="F122" s="55" t="s">
        <v>170</v>
      </c>
      <c r="G122" s="55"/>
      <c r="H122" s="54">
        <f>مهارت!C7</f>
        <v>4.84</v>
      </c>
      <c r="I122" s="54"/>
    </row>
    <row r="123" spans="1:9" ht="17.25">
      <c r="A123" s="54"/>
      <c r="B123" s="87"/>
      <c r="C123" s="54" t="s">
        <v>69</v>
      </c>
      <c r="D123" s="54"/>
      <c r="E123" s="54"/>
      <c r="F123" s="55" t="s">
        <v>170</v>
      </c>
      <c r="G123" s="55"/>
      <c r="H123" s="54">
        <f>مهارت!C8</f>
        <v>4.84</v>
      </c>
      <c r="I123" s="54"/>
    </row>
    <row r="124" spans="1:9" ht="17.25">
      <c r="A124" s="54"/>
      <c r="B124" s="87"/>
      <c r="C124" s="54" t="s">
        <v>70</v>
      </c>
      <c r="D124" s="54"/>
      <c r="E124" s="54"/>
      <c r="F124" s="55" t="s">
        <v>170</v>
      </c>
      <c r="G124" s="55"/>
      <c r="H124" s="54">
        <f>مهارت!C9</f>
        <v>3.7</v>
      </c>
      <c r="I124" s="54"/>
    </row>
    <row r="125" spans="1:9" ht="17.25">
      <c r="A125" s="54"/>
      <c r="B125" s="87"/>
      <c r="C125" s="54" t="s">
        <v>62</v>
      </c>
      <c r="D125" s="54"/>
      <c r="E125" s="54"/>
      <c r="F125" s="55" t="s">
        <v>170</v>
      </c>
      <c r="G125" s="55"/>
      <c r="H125" s="54">
        <f>مهارت!C10</f>
        <v>18</v>
      </c>
      <c r="I125" s="54"/>
    </row>
    <row r="126" spans="1:9" ht="17.25">
      <c r="A126" s="54"/>
      <c r="B126" s="87"/>
      <c r="C126" s="54" t="s">
        <v>63</v>
      </c>
      <c r="D126" s="54"/>
      <c r="E126" s="54"/>
      <c r="F126" s="55" t="s">
        <v>170</v>
      </c>
      <c r="G126" s="55"/>
      <c r="H126" s="54">
        <f>مهارت!C11</f>
        <v>6</v>
      </c>
      <c r="I126" s="54"/>
    </row>
    <row r="127" spans="1:9" ht="17.25">
      <c r="A127" s="54"/>
      <c r="B127" s="85" t="s">
        <v>88</v>
      </c>
      <c r="C127" s="85"/>
      <c r="D127" s="85"/>
      <c r="E127" s="85">
        <f>مهارت!C15</f>
        <v>45.81999999999999</v>
      </c>
      <c r="F127" s="85"/>
      <c r="G127" s="85"/>
      <c r="H127" s="85"/>
      <c r="I127" s="85"/>
    </row>
    <row r="128" spans="1:9" ht="17.25">
      <c r="A128" s="54"/>
      <c r="B128" s="54"/>
      <c r="C128" s="54"/>
      <c r="D128" s="54"/>
      <c r="E128" s="54"/>
      <c r="F128" s="54"/>
      <c r="G128" s="54"/>
      <c r="H128" s="54"/>
      <c r="I128" s="54"/>
    </row>
    <row r="129" spans="1:9" ht="17.25">
      <c r="A129" s="54"/>
      <c r="B129" s="84" t="s">
        <v>103</v>
      </c>
      <c r="C129" s="54" t="s">
        <v>110</v>
      </c>
      <c r="D129" s="54"/>
      <c r="E129" s="54"/>
      <c r="F129" s="54" t="s">
        <v>104</v>
      </c>
      <c r="G129" s="54"/>
      <c r="H129" s="54"/>
      <c r="I129" s="54"/>
    </row>
    <row r="130" spans="1:9" ht="17.25">
      <c r="A130" s="54"/>
      <c r="B130" s="84"/>
      <c r="C130" s="84" t="str">
        <f>'زبان های خارجی '!B1</f>
        <v>مدرک تحصیلی را وارد کنید</v>
      </c>
      <c r="D130" s="84"/>
      <c r="E130" s="84"/>
      <c r="F130" s="54" t="s">
        <v>105</v>
      </c>
      <c r="G130" s="54"/>
      <c r="H130" s="54" t="s">
        <v>40</v>
      </c>
      <c r="I130" s="54"/>
    </row>
    <row r="131" spans="1:9" ht="17.25">
      <c r="A131" s="54"/>
      <c r="B131" s="84"/>
      <c r="C131" s="84"/>
      <c r="D131" s="84"/>
      <c r="E131" s="84"/>
      <c r="F131" s="55" t="s">
        <v>154</v>
      </c>
      <c r="G131" s="55"/>
      <c r="H131" s="54">
        <f>'زبان های خارجی '!B2</f>
        <v>0</v>
      </c>
      <c r="I131" s="54"/>
    </row>
    <row r="132" spans="1:9" ht="17.25">
      <c r="A132" s="54"/>
      <c r="B132" s="54" t="s">
        <v>88</v>
      </c>
      <c r="C132" s="54"/>
      <c r="D132" s="54"/>
      <c r="E132" s="54" t="e">
        <f>'زبان های خارجی '!B4</f>
        <v>#VALUE!</v>
      </c>
      <c r="F132" s="54"/>
      <c r="G132" s="54"/>
      <c r="H132" s="54"/>
      <c r="I132" s="54"/>
    </row>
    <row r="133" spans="1:9" ht="17.25">
      <c r="A133" s="54"/>
      <c r="B133" s="54"/>
      <c r="C133" s="54"/>
      <c r="D133" s="54"/>
      <c r="E133" s="54"/>
      <c r="F133" s="54"/>
      <c r="G133" s="54"/>
      <c r="H133" s="54"/>
      <c r="I133" s="54"/>
    </row>
    <row r="134" spans="1:9" ht="17.25">
      <c r="A134" s="54"/>
      <c r="B134" s="54" t="s">
        <v>106</v>
      </c>
      <c r="C134" s="54" t="s">
        <v>60</v>
      </c>
      <c r="D134" s="54"/>
      <c r="E134" s="54"/>
      <c r="F134" s="54"/>
      <c r="G134" s="54"/>
      <c r="H134" s="54" t="s">
        <v>108</v>
      </c>
      <c r="I134" s="54"/>
    </row>
    <row r="135" spans="1:9" ht="17.25">
      <c r="A135" s="54"/>
      <c r="B135" s="54"/>
      <c r="C135" s="54"/>
      <c r="D135" s="54"/>
      <c r="E135" s="54"/>
      <c r="F135" s="54"/>
      <c r="G135" s="54"/>
      <c r="H135" s="55">
        <v>0</v>
      </c>
      <c r="I135" s="55"/>
    </row>
    <row r="136" spans="1:9" ht="17.25">
      <c r="A136" s="54"/>
      <c r="B136" s="54" t="s">
        <v>88</v>
      </c>
      <c r="C136" s="54"/>
      <c r="D136" s="54"/>
      <c r="E136" s="54">
        <f>'توسعه فردی'!B7</f>
        <v>0</v>
      </c>
      <c r="F136" s="54"/>
      <c r="G136" s="54"/>
      <c r="H136" s="54"/>
      <c r="I136" s="54"/>
    </row>
    <row r="137" spans="1:9" ht="17.25">
      <c r="A137" s="83" t="s">
        <v>107</v>
      </c>
      <c r="B137" s="83"/>
      <c r="C137" s="83"/>
      <c r="D137" s="83" t="e">
        <f>E136+E127+E115+E105+E132</f>
        <v>#VALUE!</v>
      </c>
      <c r="E137" s="83"/>
      <c r="F137" s="83"/>
      <c r="G137" s="83"/>
      <c r="H137" s="83"/>
      <c r="I137" s="83"/>
    </row>
    <row r="138" spans="1:9" ht="17.25">
      <c r="A138" s="41"/>
      <c r="B138" s="41"/>
      <c r="C138" s="41"/>
      <c r="D138" s="41"/>
      <c r="E138" s="41"/>
      <c r="F138" s="41"/>
      <c r="G138" s="41"/>
      <c r="H138" s="41"/>
      <c r="I138" s="41"/>
    </row>
    <row r="139" spans="1:9" ht="17.25">
      <c r="A139" s="74"/>
      <c r="B139" s="66" t="s">
        <v>109</v>
      </c>
      <c r="C139" s="67"/>
      <c r="D139" s="67"/>
      <c r="E139" s="67"/>
      <c r="F139" s="67"/>
      <c r="G139" s="67"/>
      <c r="H139" s="67"/>
      <c r="I139" s="68"/>
    </row>
    <row r="140" spans="1:9" ht="14.25" customHeight="1">
      <c r="A140" s="74"/>
      <c r="B140" s="109" t="s">
        <v>138</v>
      </c>
      <c r="C140" s="66" t="s">
        <v>139</v>
      </c>
      <c r="D140" s="67"/>
      <c r="E140" s="67"/>
      <c r="F140" s="68"/>
      <c r="G140" s="38" t="s">
        <v>140</v>
      </c>
      <c r="H140" s="38" t="s">
        <v>40</v>
      </c>
      <c r="I140" s="38" t="s">
        <v>88</v>
      </c>
    </row>
    <row r="141" spans="1:9" ht="17.25">
      <c r="A141" s="74"/>
      <c r="B141" s="110"/>
      <c r="C141" s="112"/>
      <c r="D141" s="113"/>
      <c r="E141" s="113"/>
      <c r="F141" s="114"/>
      <c r="G141" s="42"/>
      <c r="H141" s="38">
        <f>پیشنهاد!C5</f>
        <v>0</v>
      </c>
      <c r="I141" s="75">
        <f>پیشنهاد!G8</f>
        <v>0</v>
      </c>
    </row>
    <row r="142" spans="1:9" ht="17.25">
      <c r="A142" s="74"/>
      <c r="B142" s="110"/>
      <c r="C142" s="112"/>
      <c r="D142" s="113"/>
      <c r="E142" s="113"/>
      <c r="F142" s="114"/>
      <c r="G142" s="42"/>
      <c r="H142" s="38">
        <f>پیشنهاد!C6</f>
        <v>0</v>
      </c>
      <c r="I142" s="76"/>
    </row>
    <row r="143" spans="1:9" ht="17.25">
      <c r="A143" s="74"/>
      <c r="B143" s="110"/>
      <c r="C143" s="112"/>
      <c r="D143" s="113"/>
      <c r="E143" s="113"/>
      <c r="F143" s="114"/>
      <c r="G143" s="42"/>
      <c r="H143" s="38">
        <f>پیشنهاد!C7</f>
        <v>0</v>
      </c>
      <c r="I143" s="76"/>
    </row>
    <row r="144" spans="1:9" ht="17.25">
      <c r="A144" s="74"/>
      <c r="B144" s="110"/>
      <c r="C144" s="112"/>
      <c r="D144" s="113"/>
      <c r="E144" s="113"/>
      <c r="F144" s="114"/>
      <c r="G144" s="42"/>
      <c r="H144" s="38">
        <f>پیشنهاد!C8</f>
        <v>0</v>
      </c>
      <c r="I144" s="76"/>
    </row>
    <row r="145" spans="1:9" ht="17.25">
      <c r="A145" s="74"/>
      <c r="B145" s="110"/>
      <c r="C145" s="112"/>
      <c r="D145" s="113"/>
      <c r="E145" s="113"/>
      <c r="F145" s="114"/>
      <c r="G145" s="42"/>
      <c r="H145" s="38">
        <f>پیشنهاد!C9</f>
        <v>0</v>
      </c>
      <c r="I145" s="76"/>
    </row>
    <row r="146" spans="1:9" ht="14.25" customHeight="1">
      <c r="A146" s="74"/>
      <c r="B146" s="110"/>
      <c r="C146" s="112"/>
      <c r="D146" s="113"/>
      <c r="E146" s="113"/>
      <c r="F146" s="114"/>
      <c r="G146" s="34"/>
      <c r="H146" s="38">
        <f>پیشنهاد!C10</f>
        <v>0</v>
      </c>
      <c r="I146" s="76"/>
    </row>
    <row r="147" spans="1:9" ht="17.25">
      <c r="A147" s="74"/>
      <c r="B147" s="111"/>
      <c r="C147" s="112"/>
      <c r="D147" s="113"/>
      <c r="E147" s="113"/>
      <c r="F147" s="114"/>
      <c r="G147" s="34"/>
      <c r="H147" s="38">
        <f>پیشنهاد!C11</f>
        <v>0</v>
      </c>
      <c r="I147" s="77"/>
    </row>
    <row r="148" spans="1:11" ht="17.25">
      <c r="A148" s="74"/>
      <c r="B148" s="60" t="s">
        <v>88</v>
      </c>
      <c r="C148" s="61"/>
      <c r="D148" s="62"/>
      <c r="E148" s="60">
        <f>پیشنهاد!G11</f>
        <v>0</v>
      </c>
      <c r="F148" s="61"/>
      <c r="G148" s="61"/>
      <c r="H148" s="61"/>
      <c r="I148" s="62"/>
      <c r="J148" s="27" t="s">
        <v>126</v>
      </c>
      <c r="K148" s="27">
        <f>I141-E148</f>
        <v>0</v>
      </c>
    </row>
    <row r="149" spans="1:9" ht="17.25">
      <c r="A149" s="74"/>
      <c r="B149" s="67"/>
      <c r="C149" s="67"/>
      <c r="D149" s="67"/>
      <c r="E149" s="67"/>
      <c r="F149" s="67"/>
      <c r="G149" s="67"/>
      <c r="H149" s="67"/>
      <c r="I149" s="67"/>
    </row>
    <row r="150" spans="1:9" ht="17.25">
      <c r="A150" s="74"/>
      <c r="B150" s="59" t="s">
        <v>127</v>
      </c>
      <c r="C150" s="66" t="s">
        <v>143</v>
      </c>
      <c r="D150" s="67"/>
      <c r="E150" s="67"/>
      <c r="F150" s="68"/>
      <c r="G150" s="38" t="s">
        <v>123</v>
      </c>
      <c r="H150" s="38" t="s">
        <v>40</v>
      </c>
      <c r="I150" s="38" t="s">
        <v>88</v>
      </c>
    </row>
    <row r="151" spans="1:9" ht="17.25">
      <c r="A151" s="74"/>
      <c r="B151" s="59"/>
      <c r="C151" s="108"/>
      <c r="D151" s="108"/>
      <c r="E151" s="108"/>
      <c r="F151" s="108"/>
      <c r="G151" s="37"/>
      <c r="H151" s="38">
        <f>'اختراع و اکتشاف'!C7</f>
        <v>0</v>
      </c>
      <c r="I151" s="75">
        <f>'اختراع و اکتشاف'!D2</f>
        <v>0</v>
      </c>
    </row>
    <row r="152" spans="1:9" ht="17.25">
      <c r="A152" s="74"/>
      <c r="B152" s="59"/>
      <c r="C152" s="108"/>
      <c r="D152" s="108"/>
      <c r="E152" s="108"/>
      <c r="F152" s="108"/>
      <c r="G152" s="37"/>
      <c r="H152" s="38">
        <f>'اختراع و اکتشاف'!C8</f>
        <v>0</v>
      </c>
      <c r="I152" s="76"/>
    </row>
    <row r="153" spans="1:9" ht="17.25">
      <c r="A153" s="74"/>
      <c r="B153" s="59"/>
      <c r="C153" s="108"/>
      <c r="D153" s="108"/>
      <c r="E153" s="108"/>
      <c r="F153" s="108"/>
      <c r="G153" s="37"/>
      <c r="H153" s="38">
        <f>'اختراع و اکتشاف'!C9</f>
        <v>0</v>
      </c>
      <c r="I153" s="76"/>
    </row>
    <row r="154" spans="1:9" ht="17.25">
      <c r="A154" s="74"/>
      <c r="B154" s="59"/>
      <c r="C154" s="108"/>
      <c r="D154" s="108"/>
      <c r="E154" s="108"/>
      <c r="F154" s="108"/>
      <c r="G154" s="37"/>
      <c r="H154" s="38">
        <f>'اختراع و اکتشاف'!C10</f>
        <v>0</v>
      </c>
      <c r="I154" s="76"/>
    </row>
    <row r="155" spans="1:9" ht="17.25">
      <c r="A155" s="74"/>
      <c r="B155" s="59"/>
      <c r="C155" s="108"/>
      <c r="D155" s="108"/>
      <c r="E155" s="108"/>
      <c r="F155" s="108"/>
      <c r="G155" s="37"/>
      <c r="H155" s="38">
        <f>'اختراع و اکتشاف'!C11</f>
        <v>0</v>
      </c>
      <c r="I155" s="76"/>
    </row>
    <row r="156" spans="1:9" ht="14.25" customHeight="1">
      <c r="A156" s="74"/>
      <c r="B156" s="59"/>
      <c r="C156" s="108"/>
      <c r="D156" s="108"/>
      <c r="E156" s="108"/>
      <c r="F156" s="108"/>
      <c r="G156" s="37"/>
      <c r="H156" s="38">
        <f>'اختراع و اکتشاف'!C12</f>
        <v>0</v>
      </c>
      <c r="I156" s="76"/>
    </row>
    <row r="157" spans="1:9" ht="17.25">
      <c r="A157" s="74"/>
      <c r="B157" s="59"/>
      <c r="C157" s="108"/>
      <c r="D157" s="108"/>
      <c r="E157" s="108"/>
      <c r="F157" s="108"/>
      <c r="G157" s="37"/>
      <c r="H157" s="38">
        <f>'اختراع و اکتشاف'!C13</f>
        <v>0</v>
      </c>
      <c r="I157" s="77"/>
    </row>
    <row r="158" spans="1:11" ht="12.75" customHeight="1">
      <c r="A158" s="74"/>
      <c r="B158" s="60" t="s">
        <v>88</v>
      </c>
      <c r="C158" s="61"/>
      <c r="D158" s="62"/>
      <c r="E158" s="60">
        <f>'اختراع و اکتشاف'!G11</f>
        <v>0</v>
      </c>
      <c r="F158" s="61"/>
      <c r="G158" s="61"/>
      <c r="H158" s="61"/>
      <c r="I158" s="62"/>
      <c r="J158" s="27" t="s">
        <v>126</v>
      </c>
      <c r="K158" s="27">
        <f>I151-E158</f>
        <v>0</v>
      </c>
    </row>
    <row r="159" spans="1:9" ht="17.25">
      <c r="A159" s="74"/>
      <c r="B159" s="67"/>
      <c r="C159" s="67"/>
      <c r="D159" s="67"/>
      <c r="E159" s="67"/>
      <c r="F159" s="67"/>
      <c r="G159" s="67"/>
      <c r="H159" s="67"/>
      <c r="I159" s="67"/>
    </row>
    <row r="160" spans="1:9" ht="17.25">
      <c r="A160" s="74"/>
      <c r="B160" s="59" t="s">
        <v>111</v>
      </c>
      <c r="C160" s="54" t="s">
        <v>145</v>
      </c>
      <c r="D160" s="54"/>
      <c r="E160" s="54"/>
      <c r="F160" s="54"/>
      <c r="G160" s="38" t="s">
        <v>123</v>
      </c>
      <c r="H160" s="38" t="s">
        <v>40</v>
      </c>
      <c r="I160" s="38" t="s">
        <v>88</v>
      </c>
    </row>
    <row r="161" spans="1:9" ht="17.25">
      <c r="A161" s="74"/>
      <c r="B161" s="59"/>
      <c r="C161" s="54"/>
      <c r="D161" s="54"/>
      <c r="E161" s="54"/>
      <c r="F161" s="54"/>
      <c r="G161" s="37"/>
      <c r="H161" s="38">
        <f>'طرح تحقیقاتی'!C16</f>
        <v>0</v>
      </c>
      <c r="I161" s="75">
        <f>'طرح تحقیقاتی'!C14</f>
        <v>0</v>
      </c>
    </row>
    <row r="162" spans="1:9" ht="17.25">
      <c r="A162" s="74"/>
      <c r="B162" s="59"/>
      <c r="C162" s="54"/>
      <c r="D162" s="54"/>
      <c r="E162" s="54"/>
      <c r="F162" s="54"/>
      <c r="G162" s="37"/>
      <c r="H162" s="38">
        <f>'طرح تحقیقاتی'!C17</f>
        <v>0</v>
      </c>
      <c r="I162" s="76"/>
    </row>
    <row r="163" spans="1:9" ht="17.25">
      <c r="A163" s="74"/>
      <c r="B163" s="59"/>
      <c r="C163" s="54"/>
      <c r="D163" s="54"/>
      <c r="E163" s="54"/>
      <c r="F163" s="54"/>
      <c r="G163" s="37"/>
      <c r="H163" s="38">
        <f>'طرح تحقیقاتی'!C18</f>
        <v>0</v>
      </c>
      <c r="I163" s="76"/>
    </row>
    <row r="164" spans="1:9" ht="17.25">
      <c r="A164" s="74"/>
      <c r="B164" s="59"/>
      <c r="C164" s="54"/>
      <c r="D164" s="54"/>
      <c r="E164" s="54"/>
      <c r="F164" s="54"/>
      <c r="G164" s="37"/>
      <c r="H164" s="38">
        <f>'طرح تحقیقاتی'!C19</f>
        <v>0</v>
      </c>
      <c r="I164" s="76"/>
    </row>
    <row r="165" spans="1:9" ht="17.25">
      <c r="A165" s="74"/>
      <c r="B165" s="59"/>
      <c r="C165" s="54"/>
      <c r="D165" s="54"/>
      <c r="E165" s="54"/>
      <c r="F165" s="54"/>
      <c r="G165" s="37"/>
      <c r="H165" s="38">
        <f>'طرح تحقیقاتی'!C20</f>
        <v>0</v>
      </c>
      <c r="I165" s="76"/>
    </row>
    <row r="166" spans="1:9" ht="14.25" customHeight="1">
      <c r="A166" s="74"/>
      <c r="B166" s="59"/>
      <c r="C166" s="54"/>
      <c r="D166" s="54"/>
      <c r="E166" s="54"/>
      <c r="F166" s="54"/>
      <c r="G166" s="37"/>
      <c r="H166" s="38">
        <f>'طرح تحقیقاتی'!C21</f>
        <v>0</v>
      </c>
      <c r="I166" s="76"/>
    </row>
    <row r="167" spans="1:9" ht="17.25">
      <c r="A167" s="74"/>
      <c r="B167" s="59"/>
      <c r="C167" s="54"/>
      <c r="D167" s="54"/>
      <c r="E167" s="54"/>
      <c r="F167" s="54"/>
      <c r="G167" s="37"/>
      <c r="H167" s="38">
        <f>'طرح تحقیقاتی'!C22</f>
        <v>0</v>
      </c>
      <c r="I167" s="77"/>
    </row>
    <row r="168" spans="1:11" ht="17.25">
      <c r="A168" s="74"/>
      <c r="B168" s="66" t="s">
        <v>16</v>
      </c>
      <c r="C168" s="67"/>
      <c r="D168" s="68"/>
      <c r="E168" s="66">
        <f>'طرح تحقیقاتی'!G20</f>
        <v>0</v>
      </c>
      <c r="F168" s="67"/>
      <c r="G168" s="67"/>
      <c r="H168" s="67"/>
      <c r="I168" s="68"/>
      <c r="J168" s="27" t="s">
        <v>126</v>
      </c>
      <c r="K168" s="27">
        <f>I161-E168</f>
        <v>0</v>
      </c>
    </row>
    <row r="169" spans="1:9" ht="17.25">
      <c r="A169" s="74"/>
      <c r="B169" s="67"/>
      <c r="C169" s="67"/>
      <c r="D169" s="67"/>
      <c r="E169" s="67"/>
      <c r="F169" s="67"/>
      <c r="G169" s="67"/>
      <c r="H169" s="67"/>
      <c r="I169" s="67"/>
    </row>
    <row r="170" spans="1:9" ht="17.25">
      <c r="A170" s="74"/>
      <c r="B170" s="75" t="s">
        <v>112</v>
      </c>
      <c r="C170" s="66" t="s">
        <v>60</v>
      </c>
      <c r="D170" s="67"/>
      <c r="E170" s="68"/>
      <c r="F170" s="66" t="s">
        <v>59</v>
      </c>
      <c r="G170" s="68"/>
      <c r="H170" s="66" t="s">
        <v>40</v>
      </c>
      <c r="I170" s="68"/>
    </row>
    <row r="171" spans="1:9" ht="17.25">
      <c r="A171" s="74"/>
      <c r="B171" s="76"/>
      <c r="C171" s="66" t="s">
        <v>113</v>
      </c>
      <c r="D171" s="67"/>
      <c r="E171" s="68"/>
      <c r="F171" s="78">
        <v>0</v>
      </c>
      <c r="G171" s="79"/>
      <c r="H171" s="66">
        <f>'طرح تحقیقاتی'!C2</f>
        <v>0</v>
      </c>
      <c r="I171" s="68"/>
    </row>
    <row r="172" spans="1:9" ht="17.25">
      <c r="A172" s="74"/>
      <c r="B172" s="76"/>
      <c r="C172" s="66" t="s">
        <v>114</v>
      </c>
      <c r="D172" s="67"/>
      <c r="E172" s="68"/>
      <c r="F172" s="78"/>
      <c r="G172" s="79"/>
      <c r="H172" s="66">
        <f>'طرح تحقیقاتی'!C3</f>
        <v>0</v>
      </c>
      <c r="I172" s="68"/>
    </row>
    <row r="173" spans="1:9" ht="17.25">
      <c r="A173" s="74"/>
      <c r="B173" s="77"/>
      <c r="C173" s="66" t="s">
        <v>115</v>
      </c>
      <c r="D173" s="67"/>
      <c r="E173" s="68"/>
      <c r="F173" s="78">
        <v>0</v>
      </c>
      <c r="G173" s="79"/>
      <c r="H173" s="66">
        <f>'طرح تحقیقاتی'!C4</f>
        <v>0</v>
      </c>
      <c r="I173" s="68"/>
    </row>
    <row r="174" spans="1:11" ht="17.25">
      <c r="A174" s="74"/>
      <c r="B174" s="60" t="s">
        <v>88</v>
      </c>
      <c r="C174" s="61"/>
      <c r="D174" s="62"/>
      <c r="E174" s="60">
        <f>'طرح تحقیقاتی'!G7</f>
        <v>0</v>
      </c>
      <c r="F174" s="61"/>
      <c r="G174" s="61"/>
      <c r="H174" s="61"/>
      <c r="I174" s="62"/>
      <c r="J174" s="27" t="s">
        <v>126</v>
      </c>
      <c r="K174" s="27">
        <f>'طرح تحقیقاتی'!C5-'فرم ارتقاء رتبه'!E174</f>
        <v>0</v>
      </c>
    </row>
    <row r="175" spans="1:9" ht="17.25">
      <c r="A175" s="74"/>
      <c r="B175" s="67"/>
      <c r="C175" s="67"/>
      <c r="D175" s="67"/>
      <c r="E175" s="67"/>
      <c r="F175" s="67"/>
      <c r="G175" s="67"/>
      <c r="H175" s="67"/>
      <c r="I175" s="67"/>
    </row>
    <row r="176" spans="1:9" ht="28.5" customHeight="1">
      <c r="A176" s="74"/>
      <c r="B176" s="80" t="s">
        <v>117</v>
      </c>
      <c r="C176" s="66" t="s">
        <v>60</v>
      </c>
      <c r="D176" s="68"/>
      <c r="E176" s="66" t="s">
        <v>166</v>
      </c>
      <c r="F176" s="68"/>
      <c r="G176" s="43" t="s">
        <v>153</v>
      </c>
      <c r="H176" s="31" t="s">
        <v>40</v>
      </c>
      <c r="I176" s="36" t="s">
        <v>88</v>
      </c>
    </row>
    <row r="177" spans="1:9" ht="17.25">
      <c r="A177" s="74"/>
      <c r="B177" s="81"/>
      <c r="C177" s="66"/>
      <c r="D177" s="68"/>
      <c r="E177" s="78" t="s">
        <v>174</v>
      </c>
      <c r="F177" s="79"/>
      <c r="G177" s="34" t="s">
        <v>170</v>
      </c>
      <c r="H177" s="36">
        <f>'تشویق و تقدیر'!F2</f>
        <v>3</v>
      </c>
      <c r="I177" s="75">
        <f>'تشویق و تقدیر'!D20</f>
        <v>4</v>
      </c>
    </row>
    <row r="178" spans="1:9" ht="17.25">
      <c r="A178" s="74"/>
      <c r="B178" s="81"/>
      <c r="C178" s="66"/>
      <c r="D178" s="68"/>
      <c r="E178" s="78" t="s">
        <v>175</v>
      </c>
      <c r="F178" s="79"/>
      <c r="G178" s="34" t="s">
        <v>170</v>
      </c>
      <c r="H178" s="36">
        <f>'تشویق و تقدیر'!F3</f>
        <v>1</v>
      </c>
      <c r="I178" s="76"/>
    </row>
    <row r="179" spans="1:9" ht="17.25">
      <c r="A179" s="74"/>
      <c r="B179" s="81"/>
      <c r="C179" s="66"/>
      <c r="D179" s="68"/>
      <c r="E179" s="78"/>
      <c r="F179" s="79"/>
      <c r="G179" s="34"/>
      <c r="H179" s="36" t="str">
        <f>'تشویق و تقدیر'!F4</f>
        <v>ارتباط را مشخص کنید.</v>
      </c>
      <c r="I179" s="76"/>
    </row>
    <row r="180" spans="1:9" ht="17.25">
      <c r="A180" s="74"/>
      <c r="B180" s="81"/>
      <c r="C180" s="66"/>
      <c r="D180" s="68"/>
      <c r="E180" s="78"/>
      <c r="F180" s="79"/>
      <c r="G180" s="34"/>
      <c r="H180" s="36" t="str">
        <f>'تشویق و تقدیر'!F5</f>
        <v>ارتباط را مشخص کنید.</v>
      </c>
      <c r="I180" s="76"/>
    </row>
    <row r="181" spans="1:9" ht="17.25">
      <c r="A181" s="74"/>
      <c r="B181" s="81"/>
      <c r="C181" s="66"/>
      <c r="D181" s="68"/>
      <c r="E181" s="78"/>
      <c r="F181" s="79"/>
      <c r="G181" s="34"/>
      <c r="H181" s="36" t="str">
        <f>'تشویق و تقدیر'!F6</f>
        <v>ارتباط را مشخص کنید.</v>
      </c>
      <c r="I181" s="76"/>
    </row>
    <row r="182" spans="1:9" ht="17.25">
      <c r="A182" s="74"/>
      <c r="B182" s="81"/>
      <c r="C182" s="66"/>
      <c r="D182" s="68"/>
      <c r="E182" s="78"/>
      <c r="F182" s="79"/>
      <c r="G182" s="34"/>
      <c r="H182" s="36" t="str">
        <f>'تشویق و تقدیر'!F7</f>
        <v>ارتباط را مشخص کنید.</v>
      </c>
      <c r="I182" s="76"/>
    </row>
    <row r="183" spans="1:9" ht="17.25">
      <c r="A183" s="74"/>
      <c r="B183" s="81"/>
      <c r="C183" s="66"/>
      <c r="D183" s="68"/>
      <c r="E183" s="78"/>
      <c r="F183" s="79"/>
      <c r="G183" s="34"/>
      <c r="H183" s="36" t="str">
        <f>'تشویق و تقدیر'!F8</f>
        <v>ارتباط را مشخص کنید.</v>
      </c>
      <c r="I183" s="76"/>
    </row>
    <row r="184" spans="1:9" ht="17.25">
      <c r="A184" s="74"/>
      <c r="B184" s="81"/>
      <c r="C184" s="66"/>
      <c r="D184" s="68"/>
      <c r="E184" s="78"/>
      <c r="F184" s="79"/>
      <c r="G184" s="34"/>
      <c r="H184" s="36" t="str">
        <f>'تشویق و تقدیر'!F9</f>
        <v>ارتباط را مشخص کنید.</v>
      </c>
      <c r="I184" s="76"/>
    </row>
    <row r="185" spans="1:9" ht="17.25">
      <c r="A185" s="74"/>
      <c r="B185" s="81"/>
      <c r="C185" s="66"/>
      <c r="D185" s="68"/>
      <c r="E185" s="78"/>
      <c r="F185" s="79"/>
      <c r="G185" s="34"/>
      <c r="H185" s="36" t="str">
        <f>'تشویق و تقدیر'!F10</f>
        <v>ارتباط را مشخص کنید.</v>
      </c>
      <c r="I185" s="76"/>
    </row>
    <row r="186" spans="1:9" ht="17.25">
      <c r="A186" s="74"/>
      <c r="B186" s="81"/>
      <c r="C186" s="66"/>
      <c r="D186" s="68"/>
      <c r="E186" s="78"/>
      <c r="F186" s="79"/>
      <c r="G186" s="34"/>
      <c r="H186" s="36" t="str">
        <f>'تشویق و تقدیر'!F11</f>
        <v>ارتباط را مشخص کنید.</v>
      </c>
      <c r="I186" s="76"/>
    </row>
    <row r="187" spans="1:9" ht="17.25">
      <c r="A187" s="74"/>
      <c r="B187" s="81"/>
      <c r="C187" s="66"/>
      <c r="D187" s="68"/>
      <c r="E187" s="78"/>
      <c r="F187" s="79"/>
      <c r="G187" s="34"/>
      <c r="H187" s="36" t="str">
        <f>'تشویق و تقدیر'!F12</f>
        <v>ارتباط را مشخص کنید.</v>
      </c>
      <c r="I187" s="76"/>
    </row>
    <row r="188" spans="1:9" ht="17.25">
      <c r="A188" s="74"/>
      <c r="B188" s="81"/>
      <c r="C188" s="66"/>
      <c r="D188" s="68"/>
      <c r="E188" s="78"/>
      <c r="F188" s="79"/>
      <c r="G188" s="34"/>
      <c r="H188" s="36" t="str">
        <f>'تشویق و تقدیر'!F13</f>
        <v>ارتباط را مشخص کنید.</v>
      </c>
      <c r="I188" s="76"/>
    </row>
    <row r="189" spans="1:9" ht="17.25">
      <c r="A189" s="74"/>
      <c r="B189" s="82"/>
      <c r="C189" s="66"/>
      <c r="D189" s="68"/>
      <c r="E189" s="78"/>
      <c r="F189" s="79"/>
      <c r="G189" s="34"/>
      <c r="H189" s="36" t="str">
        <f>'تشویق و تقدیر'!F14</f>
        <v>ارتباط را مشخص کنید.</v>
      </c>
      <c r="I189" s="77"/>
    </row>
    <row r="190" spans="1:11" ht="17.25">
      <c r="A190" s="74"/>
      <c r="B190" s="60" t="s">
        <v>88</v>
      </c>
      <c r="C190" s="61"/>
      <c r="D190" s="62"/>
      <c r="E190" s="60">
        <f>'تشویق و تقدیر'!H9</f>
        <v>4</v>
      </c>
      <c r="F190" s="61"/>
      <c r="G190" s="61"/>
      <c r="H190" s="61"/>
      <c r="I190" s="62"/>
      <c r="J190" s="27" t="s">
        <v>126</v>
      </c>
      <c r="K190" s="27">
        <f>I177-E190</f>
        <v>0</v>
      </c>
    </row>
    <row r="191" spans="1:9" ht="17.25">
      <c r="A191" s="74"/>
      <c r="B191" s="41"/>
      <c r="C191" s="41"/>
      <c r="D191" s="41"/>
      <c r="E191" s="41"/>
      <c r="F191" s="41"/>
      <c r="G191" s="41"/>
      <c r="H191" s="41"/>
      <c r="I191" s="41"/>
    </row>
    <row r="192" spans="1:9" ht="14.25" customHeight="1">
      <c r="A192" s="74"/>
      <c r="B192" s="80" t="s">
        <v>118</v>
      </c>
      <c r="C192" s="66" t="s">
        <v>60</v>
      </c>
      <c r="D192" s="67"/>
      <c r="E192" s="68"/>
      <c r="F192" s="66" t="s">
        <v>61</v>
      </c>
      <c r="G192" s="68"/>
      <c r="H192" s="38" t="s">
        <v>40</v>
      </c>
      <c r="I192" s="33" t="s">
        <v>16</v>
      </c>
    </row>
    <row r="193" spans="1:9" ht="17.25">
      <c r="A193" s="74"/>
      <c r="B193" s="81"/>
      <c r="C193" s="66"/>
      <c r="D193" s="67"/>
      <c r="E193" s="68"/>
      <c r="F193" s="78"/>
      <c r="G193" s="79"/>
      <c r="H193" s="36" t="str">
        <f>'عضو نمونه'!D2</f>
        <v>0</v>
      </c>
      <c r="I193" s="75">
        <f>'عضو نمونه'!D12</f>
        <v>0</v>
      </c>
    </row>
    <row r="194" spans="1:9" ht="17.25">
      <c r="A194" s="74"/>
      <c r="B194" s="81"/>
      <c r="C194" s="66"/>
      <c r="D194" s="67"/>
      <c r="E194" s="68"/>
      <c r="F194" s="78"/>
      <c r="G194" s="79"/>
      <c r="H194" s="36" t="str">
        <f>'عضو نمونه'!D3</f>
        <v>0</v>
      </c>
      <c r="I194" s="76"/>
    </row>
    <row r="195" spans="1:9" ht="17.25">
      <c r="A195" s="74"/>
      <c r="B195" s="81"/>
      <c r="C195" s="66"/>
      <c r="D195" s="67"/>
      <c r="E195" s="68"/>
      <c r="F195" s="78"/>
      <c r="G195" s="79"/>
      <c r="H195" s="36" t="str">
        <f>'عضو نمونه'!D4</f>
        <v>0</v>
      </c>
      <c r="I195" s="76"/>
    </row>
    <row r="196" spans="1:9" ht="17.25">
      <c r="A196" s="74"/>
      <c r="B196" s="81"/>
      <c r="C196" s="66"/>
      <c r="D196" s="67"/>
      <c r="E196" s="68"/>
      <c r="F196" s="78"/>
      <c r="G196" s="79"/>
      <c r="H196" s="36" t="str">
        <f>'عضو نمونه'!D5</f>
        <v>0</v>
      </c>
      <c r="I196" s="76"/>
    </row>
    <row r="197" spans="1:9" ht="17.25">
      <c r="A197" s="74"/>
      <c r="B197" s="81"/>
      <c r="C197" s="66"/>
      <c r="D197" s="67"/>
      <c r="E197" s="68"/>
      <c r="F197" s="78"/>
      <c r="G197" s="79"/>
      <c r="H197" s="36" t="str">
        <f>'عضو نمونه'!D6</f>
        <v>0</v>
      </c>
      <c r="I197" s="76"/>
    </row>
    <row r="198" spans="1:9" ht="17.25">
      <c r="A198" s="74"/>
      <c r="B198" s="81"/>
      <c r="C198" s="66"/>
      <c r="D198" s="67"/>
      <c r="E198" s="68"/>
      <c r="F198" s="78"/>
      <c r="G198" s="79"/>
      <c r="H198" s="36" t="str">
        <f>'عضو نمونه'!D7</f>
        <v>0</v>
      </c>
      <c r="I198" s="76"/>
    </row>
    <row r="199" spans="1:9" ht="17.25">
      <c r="A199" s="74"/>
      <c r="B199" s="81"/>
      <c r="C199" s="66"/>
      <c r="D199" s="67"/>
      <c r="E199" s="68"/>
      <c r="F199" s="78"/>
      <c r="G199" s="79"/>
      <c r="H199" s="36" t="str">
        <f>'عضو نمونه'!D8</f>
        <v>0</v>
      </c>
      <c r="I199" s="76"/>
    </row>
    <row r="200" spans="1:9" ht="17.25">
      <c r="A200" s="74"/>
      <c r="B200" s="81"/>
      <c r="C200" s="66"/>
      <c r="D200" s="67"/>
      <c r="E200" s="68"/>
      <c r="F200" s="78"/>
      <c r="G200" s="79"/>
      <c r="H200" s="36" t="str">
        <f>'عضو نمونه'!D9</f>
        <v>0</v>
      </c>
      <c r="I200" s="76"/>
    </row>
    <row r="201" spans="1:9" ht="17.25">
      <c r="A201" s="74"/>
      <c r="B201" s="81"/>
      <c r="C201" s="66"/>
      <c r="D201" s="67"/>
      <c r="E201" s="68"/>
      <c r="F201" s="78"/>
      <c r="G201" s="79"/>
      <c r="H201" s="36" t="str">
        <f>'عضو نمونه'!D10</f>
        <v>0</v>
      </c>
      <c r="I201" s="76"/>
    </row>
    <row r="202" spans="1:9" ht="17.25">
      <c r="A202" s="74"/>
      <c r="B202" s="82"/>
      <c r="C202" s="66"/>
      <c r="D202" s="67"/>
      <c r="E202" s="68"/>
      <c r="F202" s="78"/>
      <c r="G202" s="79"/>
      <c r="H202" s="36" t="str">
        <f>'عضو نمونه'!D11</f>
        <v>0</v>
      </c>
      <c r="I202" s="77"/>
    </row>
    <row r="203" spans="1:11" ht="17.25">
      <c r="A203" s="74"/>
      <c r="B203" s="60" t="s">
        <v>88</v>
      </c>
      <c r="C203" s="61"/>
      <c r="D203" s="62"/>
      <c r="E203" s="60">
        <f>'عضو نمونه'!H7</f>
        <v>0</v>
      </c>
      <c r="F203" s="61"/>
      <c r="G203" s="61"/>
      <c r="H203" s="61"/>
      <c r="I203" s="62"/>
      <c r="J203" s="27" t="s">
        <v>126</v>
      </c>
      <c r="K203" s="27">
        <f>I193-E203</f>
        <v>0</v>
      </c>
    </row>
    <row r="204" spans="1:9" ht="17.25">
      <c r="A204" s="74"/>
      <c r="B204" s="41"/>
      <c r="C204" s="41"/>
      <c r="D204" s="41"/>
      <c r="E204" s="41"/>
      <c r="F204" s="41"/>
      <c r="G204" s="41"/>
      <c r="H204" s="41"/>
      <c r="I204" s="41"/>
    </row>
    <row r="205" spans="1:9" ht="17.25">
      <c r="A205" s="74"/>
      <c r="B205" s="59" t="s">
        <v>156</v>
      </c>
      <c r="C205" s="41"/>
      <c r="D205" s="54" t="s">
        <v>157</v>
      </c>
      <c r="E205" s="54"/>
      <c r="F205" s="54" t="s">
        <v>158</v>
      </c>
      <c r="G205" s="54"/>
      <c r="H205" s="54" t="s">
        <v>159</v>
      </c>
      <c r="I205" s="54"/>
    </row>
    <row r="206" spans="1:9" ht="17.25">
      <c r="A206" s="74"/>
      <c r="B206" s="59"/>
      <c r="C206" s="44" t="s">
        <v>59</v>
      </c>
      <c r="D206" s="55">
        <v>16</v>
      </c>
      <c r="E206" s="55"/>
      <c r="F206" s="55">
        <v>2</v>
      </c>
      <c r="G206" s="55"/>
      <c r="H206" s="55">
        <v>0</v>
      </c>
      <c r="I206" s="55"/>
    </row>
    <row r="207" spans="1:9" ht="14.25" customHeight="1">
      <c r="A207" s="74"/>
      <c r="B207" s="59"/>
      <c r="C207" s="67" t="s">
        <v>40</v>
      </c>
      <c r="D207" s="67"/>
      <c r="E207" s="68"/>
      <c r="F207" s="66" t="s">
        <v>119</v>
      </c>
      <c r="G207" s="67"/>
      <c r="H207" s="67"/>
      <c r="I207" s="68"/>
    </row>
    <row r="208" spans="1:9" ht="17.25">
      <c r="A208" s="74"/>
      <c r="B208" s="59"/>
      <c r="C208" s="72">
        <f>Sheet1!G2</f>
        <v>31.066666666666666</v>
      </c>
      <c r="D208" s="72"/>
      <c r="E208" s="73"/>
      <c r="F208" s="66">
        <f>'تکزیم ارباب رجوع'!F6</f>
        <v>32.4</v>
      </c>
      <c r="G208" s="67"/>
      <c r="H208" s="67"/>
      <c r="I208" s="68"/>
    </row>
    <row r="209" spans="1:9" ht="17.25" customHeight="1">
      <c r="A209" s="74"/>
      <c r="B209" s="60" t="s">
        <v>88</v>
      </c>
      <c r="C209" s="61"/>
      <c r="D209" s="62"/>
      <c r="E209" s="63">
        <f>'تکزیم ارباب رجوع'!F2</f>
        <v>31.066666666666666</v>
      </c>
      <c r="F209" s="64"/>
      <c r="G209" s="64"/>
      <c r="H209" s="64"/>
      <c r="I209" s="65"/>
    </row>
    <row r="210" spans="1:9" ht="17.25">
      <c r="A210" s="74"/>
      <c r="B210" s="66"/>
      <c r="C210" s="67"/>
      <c r="D210" s="67"/>
      <c r="E210" s="67"/>
      <c r="F210" s="67"/>
      <c r="G210" s="67"/>
      <c r="H210" s="67"/>
      <c r="I210" s="68"/>
    </row>
    <row r="211" spans="1:9" ht="17.25">
      <c r="A211" s="74"/>
      <c r="B211" s="56" t="s">
        <v>155</v>
      </c>
      <c r="C211" s="31"/>
      <c r="D211" s="54" t="s">
        <v>157</v>
      </c>
      <c r="E211" s="54"/>
      <c r="F211" s="54" t="s">
        <v>158</v>
      </c>
      <c r="G211" s="54"/>
      <c r="H211" s="54" t="s">
        <v>159</v>
      </c>
      <c r="I211" s="54"/>
    </row>
    <row r="212" spans="1:9" ht="17.25">
      <c r="A212" s="74"/>
      <c r="B212" s="57"/>
      <c r="C212" s="31" t="s">
        <v>59</v>
      </c>
      <c r="D212" s="55">
        <v>18</v>
      </c>
      <c r="E212" s="55"/>
      <c r="F212" s="55">
        <v>0</v>
      </c>
      <c r="G212" s="55"/>
      <c r="H212" s="55">
        <v>0</v>
      </c>
      <c r="I212" s="55"/>
    </row>
    <row r="213" spans="1:9" ht="17.25">
      <c r="A213" s="74"/>
      <c r="B213" s="57"/>
      <c r="C213" s="66" t="s">
        <v>40</v>
      </c>
      <c r="D213" s="67"/>
      <c r="E213" s="68"/>
      <c r="F213" s="66" t="s">
        <v>119</v>
      </c>
      <c r="G213" s="67"/>
      <c r="H213" s="67"/>
      <c r="I213" s="68"/>
    </row>
    <row r="214" spans="1:9" ht="17.25">
      <c r="A214" s="74"/>
      <c r="B214" s="58"/>
      <c r="C214" s="71">
        <f>Sheet1!G6</f>
        <v>51.599999999999994</v>
      </c>
      <c r="D214" s="72"/>
      <c r="E214" s="73"/>
      <c r="F214" s="66">
        <f>'شعائر اسلامی'!F6</f>
        <v>51.4</v>
      </c>
      <c r="G214" s="67"/>
      <c r="H214" s="67"/>
      <c r="I214" s="68"/>
    </row>
    <row r="215" spans="1:9" ht="17.25">
      <c r="A215" s="74"/>
      <c r="B215" s="60" t="s">
        <v>88</v>
      </c>
      <c r="C215" s="61"/>
      <c r="D215" s="62"/>
      <c r="E215" s="63">
        <f>'شعائر اسلامی'!F2</f>
        <v>51.4</v>
      </c>
      <c r="F215" s="64"/>
      <c r="G215" s="64"/>
      <c r="H215" s="64"/>
      <c r="I215" s="65"/>
    </row>
    <row r="216" spans="1:9" ht="17.25">
      <c r="A216" s="69" t="s">
        <v>120</v>
      </c>
      <c r="B216" s="69"/>
      <c r="C216" s="69"/>
      <c r="D216" s="70">
        <f>E215+E209+E203+E190+E174+E158+E148</f>
        <v>86.46666666666667</v>
      </c>
      <c r="E216" s="70"/>
      <c r="F216" s="70"/>
      <c r="G216" s="70"/>
      <c r="H216" s="70"/>
      <c r="I216" s="70"/>
    </row>
    <row r="217" spans="1:9" ht="17.25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7.25">
      <c r="A218" s="41"/>
      <c r="B218" s="102" t="s">
        <v>16</v>
      </c>
      <c r="C218" s="102"/>
      <c r="D218" s="101" t="e">
        <f>Sheet3!G10</f>
        <v>#VALUE!</v>
      </c>
      <c r="E218" s="101"/>
      <c r="F218" s="101"/>
      <c r="G218" s="101"/>
      <c r="H218" s="101"/>
      <c r="I218" s="101"/>
    </row>
    <row r="219" spans="1:9" ht="17.25">
      <c r="A219" s="41"/>
      <c r="B219" s="102"/>
      <c r="C219" s="102"/>
      <c r="D219" s="101"/>
      <c r="E219" s="101"/>
      <c r="F219" s="101"/>
      <c r="G219" s="101"/>
      <c r="H219" s="101"/>
      <c r="I219" s="101"/>
    </row>
    <row r="220" spans="1:9" ht="17.25">
      <c r="A220" s="41"/>
      <c r="B220" s="102"/>
      <c r="C220" s="102"/>
      <c r="D220" s="101"/>
      <c r="E220" s="101"/>
      <c r="F220" s="101"/>
      <c r="G220" s="101"/>
      <c r="H220" s="101"/>
      <c r="I220" s="101"/>
    </row>
    <row r="221" spans="1:9" ht="17.25">
      <c r="A221" s="41"/>
      <c r="B221" s="103" t="e">
        <f>Sheet3!G14</f>
        <v>#VALUE!</v>
      </c>
      <c r="C221" s="103"/>
      <c r="D221" s="103"/>
      <c r="E221" s="103"/>
      <c r="F221" s="103"/>
      <c r="G221" s="103"/>
      <c r="H221" s="103"/>
      <c r="I221" s="103"/>
    </row>
    <row r="222" spans="1:9" ht="17.25">
      <c r="A222" s="41"/>
      <c r="B222" s="103"/>
      <c r="C222" s="103"/>
      <c r="D222" s="103"/>
      <c r="E222" s="103"/>
      <c r="F222" s="103"/>
      <c r="G222" s="103"/>
      <c r="H222" s="103"/>
      <c r="I222" s="103"/>
    </row>
    <row r="223" spans="1:9" ht="17.25">
      <c r="A223" s="41"/>
      <c r="B223" s="103"/>
      <c r="C223" s="103"/>
      <c r="D223" s="103"/>
      <c r="E223" s="103"/>
      <c r="F223" s="103"/>
      <c r="G223" s="103"/>
      <c r="H223" s="103"/>
      <c r="I223" s="103"/>
    </row>
    <row r="224" spans="1:9" ht="15">
      <c r="A224" s="30"/>
      <c r="B224" s="30"/>
      <c r="C224" s="30"/>
      <c r="D224" s="30"/>
      <c r="E224" s="30"/>
      <c r="F224" s="30"/>
      <c r="G224" s="30"/>
      <c r="H224" s="30"/>
      <c r="I224" s="30"/>
    </row>
    <row r="225" spans="1:9" ht="15">
      <c r="A225" s="30"/>
      <c r="B225" s="30"/>
      <c r="C225" s="30"/>
      <c r="D225" s="30"/>
      <c r="E225" s="30"/>
      <c r="F225" s="30"/>
      <c r="G225" s="30"/>
      <c r="H225" s="30"/>
      <c r="I225" s="30"/>
    </row>
    <row r="226" spans="1:9" ht="15">
      <c r="A226" s="30"/>
      <c r="B226" s="30"/>
      <c r="C226" s="30"/>
      <c r="D226" s="30"/>
      <c r="E226" s="30"/>
      <c r="F226" s="30"/>
      <c r="G226" s="30"/>
      <c r="H226" s="30"/>
      <c r="I226" s="30"/>
    </row>
    <row r="227" spans="1:9" ht="15">
      <c r="A227" s="30"/>
      <c r="B227" s="30"/>
      <c r="C227" s="30"/>
      <c r="D227" s="30"/>
      <c r="E227" s="30"/>
      <c r="F227" s="30"/>
      <c r="G227" s="30"/>
      <c r="H227" s="30"/>
      <c r="I227" s="30"/>
    </row>
    <row r="228" spans="1:9" ht="15">
      <c r="A228" s="30"/>
      <c r="B228" s="30"/>
      <c r="C228" s="30"/>
      <c r="D228" s="30"/>
      <c r="E228" s="30"/>
      <c r="F228" s="30"/>
      <c r="G228" s="30"/>
      <c r="H228" s="30"/>
      <c r="I228" s="30"/>
    </row>
    <row r="229" spans="1:9" ht="15">
      <c r="A229" s="30"/>
      <c r="B229" s="30"/>
      <c r="C229" s="30"/>
      <c r="D229" s="30"/>
      <c r="E229" s="30"/>
      <c r="F229" s="30"/>
      <c r="G229" s="30"/>
      <c r="H229" s="30"/>
      <c r="I229" s="30"/>
    </row>
    <row r="230" spans="1:9" ht="15">
      <c r="A230" s="30"/>
      <c r="B230" s="30"/>
      <c r="C230" s="30"/>
      <c r="D230" s="30"/>
      <c r="E230" s="30"/>
      <c r="F230" s="30"/>
      <c r="G230" s="30"/>
      <c r="H230" s="30"/>
      <c r="I230" s="30"/>
    </row>
    <row r="231" spans="1:9" ht="15">
      <c r="A231" s="30"/>
      <c r="B231" s="30"/>
      <c r="C231" s="30"/>
      <c r="D231" s="30"/>
      <c r="E231" s="30"/>
      <c r="F231" s="30"/>
      <c r="G231" s="30"/>
      <c r="H231" s="30"/>
      <c r="I231" s="30"/>
    </row>
    <row r="232" spans="1:9" ht="15">
      <c r="A232" s="30"/>
      <c r="B232" s="30"/>
      <c r="C232" s="30"/>
      <c r="D232" s="30"/>
      <c r="E232" s="30"/>
      <c r="F232" s="30"/>
      <c r="G232" s="30"/>
      <c r="H232" s="30"/>
      <c r="I232" s="30"/>
    </row>
    <row r="233" spans="1:9" ht="15">
      <c r="A233" s="30"/>
      <c r="B233" s="30"/>
      <c r="C233" s="30"/>
      <c r="D233" s="30"/>
      <c r="E233" s="30"/>
      <c r="F233" s="30"/>
      <c r="G233" s="30"/>
      <c r="H233" s="30"/>
      <c r="I233" s="30"/>
    </row>
  </sheetData>
  <sheetProtection/>
  <mergeCells count="352">
    <mergeCell ref="B139:I139"/>
    <mergeCell ref="B148:D148"/>
    <mergeCell ref="E148:I148"/>
    <mergeCell ref="B149:I149"/>
    <mergeCell ref="B140:B147"/>
    <mergeCell ref="C140:F140"/>
    <mergeCell ref="C141:F141"/>
    <mergeCell ref="C142:F142"/>
    <mergeCell ref="C143:F143"/>
    <mergeCell ref="C144:F144"/>
    <mergeCell ref="I141:I147"/>
    <mergeCell ref="C145:F145"/>
    <mergeCell ref="C146:F146"/>
    <mergeCell ref="C147:F147"/>
    <mergeCell ref="B150:B157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H120:I120"/>
    <mergeCell ref="C113:E113"/>
    <mergeCell ref="C114:E114"/>
    <mergeCell ref="F125:G125"/>
    <mergeCell ref="B116:I116"/>
    <mergeCell ref="H122:I122"/>
    <mergeCell ref="C107:E107"/>
    <mergeCell ref="B107:B114"/>
    <mergeCell ref="C108:E108"/>
    <mergeCell ref="C109:E109"/>
    <mergeCell ref="C110:E110"/>
    <mergeCell ref="C111:E111"/>
    <mergeCell ref="C112:E112"/>
    <mergeCell ref="I108:I114"/>
    <mergeCell ref="F122:G122"/>
    <mergeCell ref="B115:D115"/>
    <mergeCell ref="E115:I115"/>
    <mergeCell ref="C117:E117"/>
    <mergeCell ref="C120:E120"/>
    <mergeCell ref="C118:E118"/>
    <mergeCell ref="C119:E119"/>
    <mergeCell ref="B136:D136"/>
    <mergeCell ref="E136:I136"/>
    <mergeCell ref="H123:I123"/>
    <mergeCell ref="H124:I124"/>
    <mergeCell ref="H125:I125"/>
    <mergeCell ref="C126:E126"/>
    <mergeCell ref="B117:B126"/>
    <mergeCell ref="F117:G117"/>
    <mergeCell ref="F118:G118"/>
    <mergeCell ref="F119:G119"/>
    <mergeCell ref="F120:G120"/>
    <mergeCell ref="F121:G121"/>
    <mergeCell ref="F123:G123"/>
    <mergeCell ref="F124:G124"/>
    <mergeCell ref="F126:G126"/>
    <mergeCell ref="C121:E121"/>
    <mergeCell ref="C122:E122"/>
    <mergeCell ref="C123:E123"/>
    <mergeCell ref="C124:E124"/>
    <mergeCell ref="C125:E125"/>
    <mergeCell ref="H130:I130"/>
    <mergeCell ref="H117:I117"/>
    <mergeCell ref="H118:I118"/>
    <mergeCell ref="H119:I119"/>
    <mergeCell ref="D218:I220"/>
    <mergeCell ref="B218:C220"/>
    <mergeCell ref="B221:I223"/>
    <mergeCell ref="E105:I105"/>
    <mergeCell ref="B105:D105"/>
    <mergeCell ref="B62:D62"/>
    <mergeCell ref="E62:I62"/>
    <mergeCell ref="H59:H61"/>
    <mergeCell ref="I35:I37"/>
    <mergeCell ref="I38:I40"/>
    <mergeCell ref="I41:I43"/>
    <mergeCell ref="I44:I46"/>
    <mergeCell ref="I47:I49"/>
    <mergeCell ref="I50:I52"/>
    <mergeCell ref="I53:I55"/>
    <mergeCell ref="I56:I58"/>
    <mergeCell ref="I59:I61"/>
    <mergeCell ref="H44:H46"/>
    <mergeCell ref="H47:H49"/>
    <mergeCell ref="H50:H52"/>
    <mergeCell ref="H53:H55"/>
    <mergeCell ref="C35:C37"/>
    <mergeCell ref="C38:C40"/>
    <mergeCell ref="C41:C43"/>
    <mergeCell ref="C23:C25"/>
    <mergeCell ref="G29:H29"/>
    <mergeCell ref="G30:H30"/>
    <mergeCell ref="G31:H31"/>
    <mergeCell ref="G23:H23"/>
    <mergeCell ref="H56:H58"/>
    <mergeCell ref="G26:H26"/>
    <mergeCell ref="G27:H27"/>
    <mergeCell ref="H35:H37"/>
    <mergeCell ref="H38:H40"/>
    <mergeCell ref="H41:H43"/>
    <mergeCell ref="C14:I14"/>
    <mergeCell ref="A15:I15"/>
    <mergeCell ref="G28:H28"/>
    <mergeCell ref="C26:C28"/>
    <mergeCell ref="B32:C32"/>
    <mergeCell ref="D32:I32"/>
    <mergeCell ref="I17:I19"/>
    <mergeCell ref="I20:I22"/>
    <mergeCell ref="I23:I25"/>
    <mergeCell ref="I26:I28"/>
    <mergeCell ref="I29:I31"/>
    <mergeCell ref="G24:H24"/>
    <mergeCell ref="G25:H25"/>
    <mergeCell ref="C29:C31"/>
    <mergeCell ref="B17:B31"/>
    <mergeCell ref="G16:H16"/>
    <mergeCell ref="G17:H17"/>
    <mergeCell ref="G18:H18"/>
    <mergeCell ref="G19:H19"/>
    <mergeCell ref="G20:H20"/>
    <mergeCell ref="G21:H21"/>
    <mergeCell ref="G22:H22"/>
    <mergeCell ref="C17:C19"/>
    <mergeCell ref="C20:C22"/>
    <mergeCell ref="C74:C76"/>
    <mergeCell ref="C77:C79"/>
    <mergeCell ref="A1:I1"/>
    <mergeCell ref="A6:I6"/>
    <mergeCell ref="A5:I5"/>
    <mergeCell ref="A7:A8"/>
    <mergeCell ref="B7:C7"/>
    <mergeCell ref="B8:C8"/>
    <mergeCell ref="D7:E7"/>
    <mergeCell ref="F7:G7"/>
    <mergeCell ref="H7:I7"/>
    <mergeCell ref="F8:G8"/>
    <mergeCell ref="D8:E8"/>
    <mergeCell ref="H8:I8"/>
    <mergeCell ref="B3:C3"/>
    <mergeCell ref="B2:C2"/>
    <mergeCell ref="C4:D4"/>
    <mergeCell ref="A9:A13"/>
    <mergeCell ref="B9:H9"/>
    <mergeCell ref="B10:H10"/>
    <mergeCell ref="B13:H13"/>
    <mergeCell ref="B11:F11"/>
    <mergeCell ref="B12:F12"/>
    <mergeCell ref="A14:B14"/>
    <mergeCell ref="I65:I67"/>
    <mergeCell ref="I68:I70"/>
    <mergeCell ref="I71:I73"/>
    <mergeCell ref="I74:I76"/>
    <mergeCell ref="I77:I79"/>
    <mergeCell ref="C86:C88"/>
    <mergeCell ref="C44:C46"/>
    <mergeCell ref="B34:B61"/>
    <mergeCell ref="C47:C49"/>
    <mergeCell ref="C50:C52"/>
    <mergeCell ref="C53:C55"/>
    <mergeCell ref="C56:C58"/>
    <mergeCell ref="C59:C61"/>
    <mergeCell ref="H65:H67"/>
    <mergeCell ref="H68:H70"/>
    <mergeCell ref="H71:H73"/>
    <mergeCell ref="H74:H76"/>
    <mergeCell ref="H77:H79"/>
    <mergeCell ref="H80:H82"/>
    <mergeCell ref="H83:H85"/>
    <mergeCell ref="H86:H88"/>
    <mergeCell ref="C65:C67"/>
    <mergeCell ref="C68:C70"/>
    <mergeCell ref="C71:C73"/>
    <mergeCell ref="A16:A98"/>
    <mergeCell ref="B33:I33"/>
    <mergeCell ref="B63:I63"/>
    <mergeCell ref="B101:B104"/>
    <mergeCell ref="G101:I101"/>
    <mergeCell ref="G102:I102"/>
    <mergeCell ref="G103:I103"/>
    <mergeCell ref="G104:I104"/>
    <mergeCell ref="C103:F103"/>
    <mergeCell ref="C104:F104"/>
    <mergeCell ref="A99:C99"/>
    <mergeCell ref="D99:I99"/>
    <mergeCell ref="A100:I100"/>
    <mergeCell ref="C101:F101"/>
    <mergeCell ref="C102:F102"/>
    <mergeCell ref="I95:I97"/>
    <mergeCell ref="B64:B97"/>
    <mergeCell ref="B98:D98"/>
    <mergeCell ref="E98:I98"/>
    <mergeCell ref="I80:I82"/>
    <mergeCell ref="I83:I85"/>
    <mergeCell ref="C80:C82"/>
    <mergeCell ref="C83:C85"/>
    <mergeCell ref="I86:I88"/>
    <mergeCell ref="A101:A136"/>
    <mergeCell ref="A137:C137"/>
    <mergeCell ref="D137:I137"/>
    <mergeCell ref="B132:D132"/>
    <mergeCell ref="E132:I132"/>
    <mergeCell ref="B128:I128"/>
    <mergeCell ref="B133:I133"/>
    <mergeCell ref="B134:B135"/>
    <mergeCell ref="C134:G134"/>
    <mergeCell ref="H134:I134"/>
    <mergeCell ref="C135:G135"/>
    <mergeCell ref="H135:I135"/>
    <mergeCell ref="C129:E129"/>
    <mergeCell ref="F129:I129"/>
    <mergeCell ref="F130:G130"/>
    <mergeCell ref="C130:E131"/>
    <mergeCell ref="B129:B131"/>
    <mergeCell ref="H131:I131"/>
    <mergeCell ref="F131:G131"/>
    <mergeCell ref="H126:I126"/>
    <mergeCell ref="B127:D127"/>
    <mergeCell ref="E127:I127"/>
    <mergeCell ref="B106:I106"/>
    <mergeCell ref="H121:I121"/>
    <mergeCell ref="E187:F187"/>
    <mergeCell ref="E188:F188"/>
    <mergeCell ref="H171:I171"/>
    <mergeCell ref="B158:D158"/>
    <mergeCell ref="E158:I158"/>
    <mergeCell ref="B159:I159"/>
    <mergeCell ref="B168:D168"/>
    <mergeCell ref="E168:I168"/>
    <mergeCell ref="H170:I170"/>
    <mergeCell ref="B169:I169"/>
    <mergeCell ref="B160:B167"/>
    <mergeCell ref="C160:F160"/>
    <mergeCell ref="C161:F161"/>
    <mergeCell ref="C162:F162"/>
    <mergeCell ref="C163:F163"/>
    <mergeCell ref="C164:F164"/>
    <mergeCell ref="C165:F165"/>
    <mergeCell ref="I161:I167"/>
    <mergeCell ref="C166:F166"/>
    <mergeCell ref="C167:F167"/>
    <mergeCell ref="C192:E192"/>
    <mergeCell ref="F192:G192"/>
    <mergeCell ref="I151:I157"/>
    <mergeCell ref="B175:I175"/>
    <mergeCell ref="C177:D177"/>
    <mergeCell ref="B176:B189"/>
    <mergeCell ref="H172:I172"/>
    <mergeCell ref="H173:I173"/>
    <mergeCell ref="B174:D174"/>
    <mergeCell ref="E174:I174"/>
    <mergeCell ref="C176:D176"/>
    <mergeCell ref="E176:F176"/>
    <mergeCell ref="E177:F177"/>
    <mergeCell ref="C178:D178"/>
    <mergeCell ref="C179:D179"/>
    <mergeCell ref="C172:E172"/>
    <mergeCell ref="C173:E173"/>
    <mergeCell ref="B170:B173"/>
    <mergeCell ref="F171:G171"/>
    <mergeCell ref="F172:G172"/>
    <mergeCell ref="F173:G173"/>
    <mergeCell ref="C170:E170"/>
    <mergeCell ref="F170:G170"/>
    <mergeCell ref="C171:E171"/>
    <mergeCell ref="C195:E195"/>
    <mergeCell ref="C196:E196"/>
    <mergeCell ref="C197:E197"/>
    <mergeCell ref="F193:G193"/>
    <mergeCell ref="B192:B202"/>
    <mergeCell ref="C184:D184"/>
    <mergeCell ref="E178:F178"/>
    <mergeCell ref="E179:F179"/>
    <mergeCell ref="E180:F180"/>
    <mergeCell ref="E181:F181"/>
    <mergeCell ref="E182:F182"/>
    <mergeCell ref="E183:F183"/>
    <mergeCell ref="C180:D180"/>
    <mergeCell ref="C181:D181"/>
    <mergeCell ref="C182:D182"/>
    <mergeCell ref="C183:D183"/>
    <mergeCell ref="E189:F189"/>
    <mergeCell ref="F194:G194"/>
    <mergeCell ref="F195:G195"/>
    <mergeCell ref="F196:G196"/>
    <mergeCell ref="F197:G197"/>
    <mergeCell ref="C185:D185"/>
    <mergeCell ref="C186:D186"/>
    <mergeCell ref="C187:D187"/>
    <mergeCell ref="B215:D215"/>
    <mergeCell ref="E215:I215"/>
    <mergeCell ref="B210:I210"/>
    <mergeCell ref="A216:C216"/>
    <mergeCell ref="D216:I216"/>
    <mergeCell ref="B209:D209"/>
    <mergeCell ref="E209:I209"/>
    <mergeCell ref="C213:E213"/>
    <mergeCell ref="F213:I213"/>
    <mergeCell ref="C214:E214"/>
    <mergeCell ref="F214:I214"/>
    <mergeCell ref="A139:A215"/>
    <mergeCell ref="B190:D190"/>
    <mergeCell ref="E190:I190"/>
    <mergeCell ref="I177:I189"/>
    <mergeCell ref="C188:D188"/>
    <mergeCell ref="C189:D189"/>
    <mergeCell ref="E184:F184"/>
    <mergeCell ref="E185:F185"/>
    <mergeCell ref="E186:F186"/>
    <mergeCell ref="C207:E207"/>
    <mergeCell ref="F207:I207"/>
    <mergeCell ref="F208:I208"/>
    <mergeCell ref="C208:E208"/>
    <mergeCell ref="H206:I206"/>
    <mergeCell ref="F206:G206"/>
    <mergeCell ref="D206:E206"/>
    <mergeCell ref="B211:B214"/>
    <mergeCell ref="D211:E211"/>
    <mergeCell ref="F211:G211"/>
    <mergeCell ref="H211:I211"/>
    <mergeCell ref="D212:E212"/>
    <mergeCell ref="F212:G212"/>
    <mergeCell ref="H212:I212"/>
    <mergeCell ref="B205:B208"/>
    <mergeCell ref="H205:I205"/>
    <mergeCell ref="F205:G205"/>
    <mergeCell ref="H95:H97"/>
    <mergeCell ref="C95:C97"/>
    <mergeCell ref="I92:I94"/>
    <mergeCell ref="H92:H94"/>
    <mergeCell ref="C92:C94"/>
    <mergeCell ref="I89:I91"/>
    <mergeCell ref="H89:H91"/>
    <mergeCell ref="C89:C91"/>
    <mergeCell ref="D205:E205"/>
    <mergeCell ref="C202:E202"/>
    <mergeCell ref="F202:G202"/>
    <mergeCell ref="B203:D203"/>
    <mergeCell ref="E203:I203"/>
    <mergeCell ref="I193:I202"/>
    <mergeCell ref="F198:G198"/>
    <mergeCell ref="F199:G199"/>
    <mergeCell ref="F200:G200"/>
    <mergeCell ref="F201:G201"/>
    <mergeCell ref="C198:E198"/>
    <mergeCell ref="C199:E199"/>
    <mergeCell ref="C200:E200"/>
    <mergeCell ref="C201:E201"/>
    <mergeCell ref="C193:E193"/>
    <mergeCell ref="C194:E194"/>
  </mergeCells>
  <dataValidations count="7">
    <dataValidation type="list" allowBlank="1" showInputMessage="1" showErrorMessage="1" sqref="E177:F189">
      <formula1>"وزرای دولت,معاون وزرا,استاندار,نماینده مجلس,رئیس دانشگاه,معاون استاندار,مدیر استانی,معاون دانشگاه,مدیر دانشگاه,کشوری,منطقه ای,استانی"</formula1>
    </dataValidation>
    <dataValidation type="list" allowBlank="1" showInputMessage="1" showErrorMessage="1" sqref="B8:C8">
      <formula1>"دیپلم,فوق دیپلم,لیسانس,فوق لیسانس,دکتری"</formula1>
    </dataValidation>
    <dataValidation type="list" allowBlank="1" showInputMessage="1" showErrorMessage="1" sqref="F193:G202">
      <formula1>"واحد,دانشگاه,کشوری"</formula1>
    </dataValidation>
    <dataValidation type="list" allowBlank="1" showInputMessage="1" showErrorMessage="1" sqref="G4">
      <formula1>"مهارتی,رتبه 3,رتبه 2,رتبه 1"</formula1>
    </dataValidation>
    <dataValidation type="list" allowBlank="1" showInputMessage="1" showErrorMessage="1" sqref="C35:C61">
      <formula1>"مدیر,معاون مدیر,رئیس اداره و گروه,کارشناس مسئول"</formula1>
    </dataValidation>
    <dataValidation type="list" allowBlank="1" showInputMessage="1" showErrorMessage="1" sqref="H11">
      <formula1>"مرتبط,غیر مرتبط"</formula1>
    </dataValidation>
    <dataValidation type="list" allowBlank="1" showInputMessage="1" showErrorMessage="1" sqref="H12">
      <formula1>"دولتی,خارجی,ازاد,پیام نور,غیر انتفاعی,سایر"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rightToLeft="1" zoomScalePageLayoutView="0" workbookViewId="0" topLeftCell="A1">
      <selection activeCell="B2" sqref="B2"/>
    </sheetView>
  </sheetViews>
  <sheetFormatPr defaultColWidth="9.140625" defaultRowHeight="15"/>
  <cols>
    <col min="1" max="1" width="15.7109375" style="0" customWidth="1"/>
  </cols>
  <sheetData>
    <row r="1" spans="1:2" ht="15">
      <c r="A1" t="s">
        <v>53</v>
      </c>
      <c r="B1" t="str">
        <f>IF('سوابق تحصیلی'!E7="فوق دیپلم",25,IF('سوابق تحصیلی'!E7="لیسانس",30,IF('سوابق تحصیلی'!E7="فوق لیسانس",35,IF('سوابق تحصیلی'!E7="دکتری",40,"مدرک تحصیلی را وارد کنید"))))</f>
        <v>مدرک تحصیلی را وارد کنید</v>
      </c>
    </row>
    <row r="2" spans="1:2" ht="15">
      <c r="A2" s="15" t="s">
        <v>54</v>
      </c>
      <c r="B2" s="15">
        <f>IF('فرم ارتقاء رتبه'!F131="بله",5,IF('فرم ارتقاء رتبه'!F131="خیر",0,"اطلاعات را وارد کنید"))</f>
        <v>0</v>
      </c>
    </row>
    <row r="4" spans="1:2" ht="15">
      <c r="A4" t="s">
        <v>16</v>
      </c>
      <c r="B4" t="e">
        <f>B1+B2</f>
        <v>#VALUE!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7"/>
  <sheetViews>
    <sheetView rightToLeft="1" zoomScalePageLayoutView="0" workbookViewId="0" topLeftCell="A1">
      <selection activeCell="B22" sqref="B22"/>
    </sheetView>
  </sheetViews>
  <sheetFormatPr defaultColWidth="9.140625" defaultRowHeight="15"/>
  <sheetData>
    <row r="2" spans="2:3" ht="15">
      <c r="B2" s="19">
        <f>'فرم ارتقاء رتبه'!H135</f>
        <v>0</v>
      </c>
      <c r="C2" t="s">
        <v>40</v>
      </c>
    </row>
    <row r="4" spans="2:3" ht="15">
      <c r="B4" t="str">
        <f>'فرم ارتقاء رتبه'!C102</f>
        <v>مهارتی</v>
      </c>
      <c r="C4" t="s">
        <v>33</v>
      </c>
    </row>
    <row r="7" spans="2:3" ht="15">
      <c r="B7">
        <f>IF(B4="مهارتی",MIN(B2,6),IF(B4="رتبه 3",MIN(B2,8.5),IF(B4="رتبه 2",MIN(B2,11),IF(B4="رتبه 1",MIN(B2,14),"امتیاز را وارد کنید"))))</f>
        <v>0</v>
      </c>
      <c r="C7" t="s">
        <v>16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rightToLeft="1" zoomScalePageLayoutView="0" workbookViewId="0" topLeftCell="A1">
      <selection activeCell="G8" sqref="G8"/>
    </sheetView>
  </sheetViews>
  <sheetFormatPr defaultColWidth="9.140625" defaultRowHeight="15"/>
  <sheetData>
    <row r="1" spans="1:8" ht="15">
      <c r="A1" t="s">
        <v>55</v>
      </c>
      <c r="C1" t="s">
        <v>33</v>
      </c>
      <c r="D1" t="s">
        <v>40</v>
      </c>
      <c r="G1">
        <f>IF(AND(C2="مهارتی",G8&lt;=5),G8,5)</f>
        <v>0</v>
      </c>
      <c r="H1" t="s">
        <v>49</v>
      </c>
    </row>
    <row r="2" spans="1:8" ht="15">
      <c r="A2" s="15">
        <f>'فرم ارتقاء رتبه'!C147</f>
        <v>0</v>
      </c>
      <c r="B2">
        <v>3</v>
      </c>
      <c r="C2" s="15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  <c r="D2">
        <f>B2*A2</f>
        <v>0</v>
      </c>
      <c r="G2">
        <f>IF(AND(C2="رتبه 3",G8&lt;=7),G8,7)</f>
        <v>7</v>
      </c>
      <c r="H2" t="s">
        <v>50</v>
      </c>
    </row>
    <row r="3" spans="7:8" ht="15">
      <c r="G3">
        <f>IF(AND(C2="رتبه 2",G8&lt;=9),G8,9)</f>
        <v>9</v>
      </c>
      <c r="H3" t="s">
        <v>51</v>
      </c>
    </row>
    <row r="4" spans="7:8" ht="15">
      <c r="G4">
        <f>IF(AND(C2="رتبه 1",G8&lt;=11),G8,11)</f>
        <v>11</v>
      </c>
      <c r="H4" t="s">
        <v>52</v>
      </c>
    </row>
    <row r="5" spans="3:4" ht="15">
      <c r="C5">
        <f>IF('فرم ارتقاء رتبه'!G141="بله",5,0)</f>
        <v>0</v>
      </c>
      <c r="D5" t="s">
        <v>142</v>
      </c>
    </row>
    <row r="6" ht="15">
      <c r="C6">
        <f>IF('فرم ارتقاء رتبه'!G142="بله",5,0)</f>
        <v>0</v>
      </c>
    </row>
    <row r="7" ht="15">
      <c r="C7">
        <f>IF('فرم ارتقاء رتبه'!G143="بله",5,0)</f>
        <v>0</v>
      </c>
    </row>
    <row r="8" spans="3:8" ht="15">
      <c r="C8">
        <f>IF('فرم ارتقاء رتبه'!G144="بله",5,0)</f>
        <v>0</v>
      </c>
      <c r="G8">
        <f>SUMIF('فرم ارتقاء رتبه'!G141:G147,"بله",'فرم ارتقاء رتبه'!H141:H147)</f>
        <v>0</v>
      </c>
      <c r="H8" t="s">
        <v>141</v>
      </c>
    </row>
    <row r="9" ht="15">
      <c r="C9">
        <f>IF('فرم ارتقاء رتبه'!G145="بله",5,0)</f>
        <v>0</v>
      </c>
    </row>
    <row r="10" ht="15">
      <c r="C10">
        <f>IF('فرم ارتقاء رتبه'!G146="بله",5,0)</f>
        <v>0</v>
      </c>
    </row>
    <row r="11" spans="3:8" ht="15">
      <c r="C11">
        <f>IF('فرم ارتقاء رتبه'!G147="بله",5,0)</f>
        <v>0</v>
      </c>
      <c r="G11">
        <f>IF(C2="مهارتی",G1,IF(C2="رتبه 3",G2,IF(C2="رتبه 2",G3,IF(C2="رتبه 1",G4,"رتبه را وارد کنید"))))</f>
        <v>0</v>
      </c>
      <c r="H11" t="s">
        <v>16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C22" sqref="C22"/>
    </sheetView>
  </sheetViews>
  <sheetFormatPr defaultColWidth="9.140625" defaultRowHeight="15"/>
  <sheetData>
    <row r="1" spans="3:8" ht="15">
      <c r="C1" t="s">
        <v>33</v>
      </c>
      <c r="D1" t="s">
        <v>40</v>
      </c>
      <c r="G1">
        <f>IF(AND(C2="مهارتی",D2&lt;=3.6),D2,3.6)</f>
        <v>0</v>
      </c>
      <c r="H1" t="s">
        <v>49</v>
      </c>
    </row>
    <row r="2" spans="1:8" ht="15">
      <c r="A2" s="15"/>
      <c r="C2" s="15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  <c r="D2">
        <f>SUMIF('فرم ارتقاء رتبه'!G151:G157,"بله",'فرم ارتقاء رتبه'!H151:H157)</f>
        <v>0</v>
      </c>
      <c r="G2">
        <f>IF(AND(C2="رتبه 3",D2&lt;=5.1),D2,5.1)</f>
        <v>5.1</v>
      </c>
      <c r="H2" t="s">
        <v>50</v>
      </c>
    </row>
    <row r="3" spans="7:8" ht="15">
      <c r="G3">
        <f>IF(AND(C2="رتبه 2",D2&lt;=6.6),D2,6.6)</f>
        <v>6.6</v>
      </c>
      <c r="H3" t="s">
        <v>51</v>
      </c>
    </row>
    <row r="4" spans="7:8" ht="15">
      <c r="G4">
        <f>IF(AND(C2="رتبه 1",D2&lt;=8.4),D2,8.4)</f>
        <v>8.4</v>
      </c>
      <c r="H4" t="s">
        <v>52</v>
      </c>
    </row>
    <row r="7" spans="3:4" ht="15">
      <c r="C7">
        <f>IF('فرم ارتقاء رتبه'!G151="بله",2,0)</f>
        <v>0</v>
      </c>
      <c r="D7" t="s">
        <v>144</v>
      </c>
    </row>
    <row r="8" ht="15">
      <c r="C8">
        <f>IF('فرم ارتقاء رتبه'!G152="بله",2,0)</f>
        <v>0</v>
      </c>
    </row>
    <row r="9" ht="15">
      <c r="C9">
        <f>IF('فرم ارتقاء رتبه'!G153="بله",2,0)</f>
        <v>0</v>
      </c>
    </row>
    <row r="10" ht="15">
      <c r="C10">
        <f>IF('فرم ارتقاء رتبه'!G154="بله",2,0)</f>
        <v>0</v>
      </c>
    </row>
    <row r="11" spans="3:8" ht="15">
      <c r="C11">
        <f>IF('فرم ارتقاء رتبه'!G155="بله",2,0)</f>
        <v>0</v>
      </c>
      <c r="G11">
        <f>IF(C2="مهارتی",G1,IF(C2="رتبه 3",G2,IF(C2="رتبه 2",G3,IF(C2="رتبه 1",G4,"رتبه را وارد کنید"))))</f>
        <v>0</v>
      </c>
      <c r="H11" t="s">
        <v>16</v>
      </c>
    </row>
    <row r="12" ht="15">
      <c r="C12">
        <f>IF('فرم ارتقاء رتبه'!G156="بله",2,0)</f>
        <v>0</v>
      </c>
    </row>
    <row r="13" ht="15">
      <c r="C13">
        <f>IF('فرم ارتقاء رتبه'!G157="بله",2,0)</f>
        <v>0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rightToLeft="1" zoomScalePageLayoutView="0" workbookViewId="0" topLeftCell="A1">
      <selection activeCell="B27" sqref="B27"/>
    </sheetView>
  </sheetViews>
  <sheetFormatPr defaultColWidth="9.140625" defaultRowHeight="15"/>
  <sheetData>
    <row r="1" spans="1:8" ht="15">
      <c r="A1" t="s">
        <v>56</v>
      </c>
      <c r="C1" t="s">
        <v>40</v>
      </c>
      <c r="E1" t="s">
        <v>33</v>
      </c>
      <c r="G1">
        <f>IF(AND(E2="مهارتی",C5&lt;=6),C5,6)</f>
        <v>0</v>
      </c>
      <c r="H1" t="s">
        <v>49</v>
      </c>
    </row>
    <row r="2" spans="1:8" ht="15">
      <c r="A2" s="16">
        <f>'فرم ارتقاء رتبه'!F171</f>
        <v>0</v>
      </c>
      <c r="B2">
        <v>2</v>
      </c>
      <c r="C2">
        <f>B2*A2</f>
        <v>0</v>
      </c>
      <c r="E2" s="15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  <c r="G2">
        <f>IF(AND(E2="رتبه 3",C5&lt;=8.5),C5,8.5)</f>
        <v>8.5</v>
      </c>
      <c r="H2" t="s">
        <v>50</v>
      </c>
    </row>
    <row r="3" spans="1:8" ht="15">
      <c r="A3" s="16">
        <f>'فرم ارتقاء رتبه'!F172</f>
        <v>0</v>
      </c>
      <c r="B3">
        <v>3</v>
      </c>
      <c r="C3">
        <f>B3*A3</f>
        <v>0</v>
      </c>
      <c r="G3">
        <f>IF(AND(E2="رتبه 2",C5&lt;=11),C5,11)</f>
        <v>11</v>
      </c>
      <c r="H3" t="s">
        <v>51</v>
      </c>
    </row>
    <row r="4" spans="1:8" ht="15">
      <c r="A4" s="16">
        <f>'فرم ارتقاء رتبه'!F173</f>
        <v>0</v>
      </c>
      <c r="B4">
        <v>4</v>
      </c>
      <c r="C4">
        <f>B4*A4</f>
        <v>0</v>
      </c>
      <c r="G4">
        <f>IF(AND(E2="رتبه 1",C5&lt;=14),C5,14)</f>
        <v>14</v>
      </c>
      <c r="H4" t="s">
        <v>52</v>
      </c>
    </row>
    <row r="5" ht="15">
      <c r="C5">
        <f>SUM(C2:C4)</f>
        <v>0</v>
      </c>
    </row>
    <row r="7" spans="7:8" ht="15">
      <c r="G7">
        <f>IF(E2="مهارتی",G1,IF(E2="رتبه 3",G2,IF(E2="رتبه 2",G3,IF(E2="رتبه 1",G4,"رتبه را وارد کنید"))))</f>
        <v>0</v>
      </c>
      <c r="H7" t="s">
        <v>40</v>
      </c>
    </row>
    <row r="9" spans="14:15" ht="15">
      <c r="N9">
        <f>G7+G20</f>
        <v>0</v>
      </c>
      <c r="O9" t="s">
        <v>16</v>
      </c>
    </row>
    <row r="13" ht="15">
      <c r="A13" t="s">
        <v>57</v>
      </c>
    </row>
    <row r="14" spans="1:8" ht="15">
      <c r="A14" s="15">
        <f>'فرم ارتقاء رتبه'!C167</f>
        <v>0</v>
      </c>
      <c r="B14">
        <v>5</v>
      </c>
      <c r="C14">
        <f>SUMIF('فرم ارتقاء رتبه'!G161:G167,"بله",'فرم ارتقاء رتبه'!H161:H167)</f>
        <v>0</v>
      </c>
      <c r="G14">
        <f>IF(AND(E2="مهارتی",C14&lt;=7.2),C14,7.2)</f>
        <v>0</v>
      </c>
      <c r="H14" t="s">
        <v>49</v>
      </c>
    </row>
    <row r="15" spans="7:8" ht="15">
      <c r="G15">
        <f>IF(AND(E2="رتبه 3",C14&lt;=10.2),C14,10.2)</f>
        <v>10.2</v>
      </c>
      <c r="H15" t="s">
        <v>50</v>
      </c>
    </row>
    <row r="16" spans="3:8" ht="15">
      <c r="C16">
        <f>IF('فرم ارتقاء رتبه'!G161="بله",5,0)</f>
        <v>0</v>
      </c>
      <c r="D16" t="s">
        <v>146</v>
      </c>
      <c r="G16">
        <f>IF(AND(E2="رتبه 2",C14&lt;=13.2),C14,13.2)</f>
        <v>13.2</v>
      </c>
      <c r="H16" t="s">
        <v>51</v>
      </c>
    </row>
    <row r="17" spans="3:8" ht="15">
      <c r="C17">
        <f>IF('فرم ارتقاء رتبه'!G162="بله",5,0)</f>
        <v>0</v>
      </c>
      <c r="G17">
        <f>IF(AND(E2="رتبه 1",C14&lt;=16.8),C14,16.8)</f>
        <v>16.8</v>
      </c>
      <c r="H17" t="s">
        <v>52</v>
      </c>
    </row>
    <row r="18" ht="15">
      <c r="C18">
        <f>IF('فرم ارتقاء رتبه'!G163="بله",5,0)</f>
        <v>0</v>
      </c>
    </row>
    <row r="19" ht="15">
      <c r="C19">
        <f>IF('فرم ارتقاء رتبه'!G164="بله",5,0)</f>
        <v>0</v>
      </c>
    </row>
    <row r="20" spans="3:8" ht="15">
      <c r="C20">
        <f>IF('فرم ارتقاء رتبه'!G165="بله",5,0)</f>
        <v>0</v>
      </c>
      <c r="G20">
        <f>IF(E2="مهارتی",G14,IF(E2="رتبه 3",G15,IF(E2="رتبه 2",G16,IF(E2="رتبه 1",G17,"رتبه را وارد کنید"))))</f>
        <v>0</v>
      </c>
      <c r="H20" t="s">
        <v>40</v>
      </c>
    </row>
    <row r="21" ht="15">
      <c r="C21">
        <f>IF('فرم ارتقاء رتبه'!G166="بله",5,0)</f>
        <v>0</v>
      </c>
    </row>
    <row r="22" ht="15">
      <c r="C22">
        <f>IF('فرم ارتقاء رتبه'!G167="بله",5,0)</f>
        <v>0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rightToLeft="1" zoomScalePageLayoutView="0" workbookViewId="0" topLeftCell="A1">
      <selection activeCell="B13" sqref="B13"/>
    </sheetView>
  </sheetViews>
  <sheetFormatPr defaultColWidth="9.140625" defaultRowHeight="15"/>
  <cols>
    <col min="2" max="2" width="15.7109375" style="0" customWidth="1"/>
    <col min="3" max="3" width="18.140625" style="0" customWidth="1"/>
    <col min="4" max="4" width="17.140625" style="0" customWidth="1"/>
  </cols>
  <sheetData>
    <row r="1" spans="1:9" ht="15">
      <c r="A1" s="1"/>
      <c r="B1" s="1" t="s">
        <v>58</v>
      </c>
      <c r="C1" t="s">
        <v>116</v>
      </c>
      <c r="D1" s="1" t="s">
        <v>40</v>
      </c>
      <c r="E1" s="18" t="s">
        <v>40</v>
      </c>
      <c r="F1" s="18" t="s">
        <v>16</v>
      </c>
      <c r="H1">
        <f>IF(AND(H14="مهارتی",D20&lt;=7.2),D20,7.2)</f>
        <v>4</v>
      </c>
      <c r="I1" t="s">
        <v>49</v>
      </c>
    </row>
    <row r="2" spans="1:9" ht="15">
      <c r="A2" s="1">
        <v>1</v>
      </c>
      <c r="B2" s="11" t="str">
        <f>'فرم ارتقاء رتبه'!E177</f>
        <v>رئیس دانشگاه</v>
      </c>
      <c r="C2" s="11" t="str">
        <f>'فرم ارتقاء رتبه'!G177</f>
        <v>بله</v>
      </c>
      <c r="D2" s="1">
        <f>IF(B2="وزرای دولت",5,IF(OR(B2="معاون وزرا",B2="استاندار",B2="نماینده مجلس",B2="کشوری"),4,IF(OR(B2="رئیس دانشگاه",B2="معاون استاندار",B2="منطقه ای"),3,IF(OR(B2="مدیر استانی",B2="معاون دانشگاه",B2="استانی"),2,IF(B2="مدیر دانشگاه",1,0)))))</f>
        <v>3</v>
      </c>
      <c r="E2">
        <f>IF(C2="بله",D2,IF(C2="خیر",(D2/2),"ارتباط را مشخص کنید."))</f>
        <v>3</v>
      </c>
      <c r="F2">
        <f>IF(OR(C2="بله",C2="خیر"),MIN(D2:E2),"ارتباط را مشخص کنید.")</f>
        <v>3</v>
      </c>
      <c r="H2">
        <f>IF(AND(H14="رتبه 3",D20&lt;=10.2),D20,10.2)</f>
        <v>10.2</v>
      </c>
      <c r="I2" t="s">
        <v>50</v>
      </c>
    </row>
    <row r="3" spans="1:9" ht="15">
      <c r="A3" s="1">
        <v>2</v>
      </c>
      <c r="B3" s="11" t="str">
        <f>'فرم ارتقاء رتبه'!E178</f>
        <v>مدیر دانشگاه</v>
      </c>
      <c r="C3" s="11" t="str">
        <f>'فرم ارتقاء رتبه'!G178</f>
        <v>بله</v>
      </c>
      <c r="D3" s="1">
        <f aca="true" t="shared" si="0" ref="D3:D14">IF(B3="وزرای دولت",5,IF(OR(B3="معاون وزرا",B3="استاندار",B3="نماینده مجلس",B3="کشوری"),4,IF(OR(B3="رئیس دانشگاه",B3="معاون استاندار",B3="منطقه ای"),3,IF(OR(B3="مدیر استانی",B3="معاون دانشگاه",B3="استانی"),2,IF(B3="مدیر دانشگاه",1,0)))))</f>
        <v>1</v>
      </c>
      <c r="E3">
        <f aca="true" t="shared" si="1" ref="E3:E14">IF(C3="بله",D3,IF(C3="خیر",(D3/2),"ارتباط را مشخص کنید."))</f>
        <v>1</v>
      </c>
      <c r="F3">
        <f>IF(OR(C3="بله",C3="خیر"),MIN(D3:E3),"ارتباط را مشخص کنید.")</f>
        <v>1</v>
      </c>
      <c r="H3">
        <f>IF(AND(H14="رتبه 2",D20&lt;=13.2),D20,13.2)</f>
        <v>13.2</v>
      </c>
      <c r="I3" t="s">
        <v>51</v>
      </c>
    </row>
    <row r="4" spans="1:9" ht="15">
      <c r="A4" s="1">
        <v>3</v>
      </c>
      <c r="B4" s="11">
        <f>'فرم ارتقاء رتبه'!E179</f>
        <v>0</v>
      </c>
      <c r="C4" s="11">
        <f>'فرم ارتقاء رتبه'!G179</f>
        <v>0</v>
      </c>
      <c r="D4" s="1">
        <f t="shared" si="0"/>
        <v>0</v>
      </c>
      <c r="E4" t="str">
        <f t="shared" si="1"/>
        <v>ارتباط را مشخص کنید.</v>
      </c>
      <c r="F4" t="str">
        <f>IF(OR(C4="بله",C4="خیر"),MIN(D4:E4),"ارتباط را مشخص کنید.")</f>
        <v>ارتباط را مشخص کنید.</v>
      </c>
      <c r="H4">
        <f>IF(AND(H14="رتبه 1",D20&lt;=16.8),D20,16.8)</f>
        <v>16.8</v>
      </c>
      <c r="I4" t="s">
        <v>52</v>
      </c>
    </row>
    <row r="5" spans="1:6" ht="15">
      <c r="A5" s="1">
        <v>4</v>
      </c>
      <c r="B5" s="11">
        <f>'فرم ارتقاء رتبه'!E180</f>
        <v>0</v>
      </c>
      <c r="C5" s="11">
        <f>'فرم ارتقاء رتبه'!G180</f>
        <v>0</v>
      </c>
      <c r="D5" s="1">
        <f t="shared" si="0"/>
        <v>0</v>
      </c>
      <c r="E5" t="str">
        <f t="shared" si="1"/>
        <v>ارتباط را مشخص کنید.</v>
      </c>
      <c r="F5" t="str">
        <f>IF(OR(C5="بله",C5="خیر"),MIN(D5:E5),"ارتباط را مشخص کنید.")</f>
        <v>ارتباط را مشخص کنید.</v>
      </c>
    </row>
    <row r="6" spans="1:6" ht="15">
      <c r="A6" s="1">
        <v>5</v>
      </c>
      <c r="B6" s="11">
        <f>'فرم ارتقاء رتبه'!E181</f>
        <v>0</v>
      </c>
      <c r="C6" s="11">
        <f>'فرم ارتقاء رتبه'!G181</f>
        <v>0</v>
      </c>
      <c r="D6" s="1">
        <f t="shared" si="0"/>
        <v>0</v>
      </c>
      <c r="E6" t="str">
        <f t="shared" si="1"/>
        <v>ارتباط را مشخص کنید.</v>
      </c>
      <c r="F6" t="str">
        <f aca="true" t="shared" si="2" ref="F6:F11">IF(OR(C6="بله",C6="خیر"),MIN(D6:E6),"ارتباط را مشخص کنید.")</f>
        <v>ارتباط را مشخص کنید.</v>
      </c>
    </row>
    <row r="7" spans="1:6" ht="15">
      <c r="A7" s="1">
        <v>6</v>
      </c>
      <c r="B7" s="11">
        <f>'فرم ارتقاء رتبه'!E182</f>
        <v>0</v>
      </c>
      <c r="C7" s="11">
        <f>'فرم ارتقاء رتبه'!G182</f>
        <v>0</v>
      </c>
      <c r="D7" s="1">
        <f t="shared" si="0"/>
        <v>0</v>
      </c>
      <c r="E7" t="str">
        <f t="shared" si="1"/>
        <v>ارتباط را مشخص کنید.</v>
      </c>
      <c r="F7" t="str">
        <f t="shared" si="2"/>
        <v>ارتباط را مشخص کنید.</v>
      </c>
    </row>
    <row r="8" spans="1:6" ht="15">
      <c r="A8" s="1">
        <v>7</v>
      </c>
      <c r="B8" s="11">
        <f>'فرم ارتقاء رتبه'!E183</f>
        <v>0</v>
      </c>
      <c r="C8" s="11">
        <f>'فرم ارتقاء رتبه'!G183</f>
        <v>0</v>
      </c>
      <c r="D8" s="1">
        <f t="shared" si="0"/>
        <v>0</v>
      </c>
      <c r="E8" t="str">
        <f t="shared" si="1"/>
        <v>ارتباط را مشخص کنید.</v>
      </c>
      <c r="F8" t="str">
        <f t="shared" si="2"/>
        <v>ارتباط را مشخص کنید.</v>
      </c>
    </row>
    <row r="9" spans="1:9" ht="15">
      <c r="A9" s="1">
        <v>8</v>
      </c>
      <c r="B9" s="11">
        <f>'فرم ارتقاء رتبه'!E184</f>
        <v>0</v>
      </c>
      <c r="C9" s="11">
        <f>'فرم ارتقاء رتبه'!G184</f>
        <v>0</v>
      </c>
      <c r="D9" s="1">
        <f t="shared" si="0"/>
        <v>0</v>
      </c>
      <c r="E9" t="str">
        <f t="shared" si="1"/>
        <v>ارتباط را مشخص کنید.</v>
      </c>
      <c r="F9" t="str">
        <f t="shared" si="2"/>
        <v>ارتباط را مشخص کنید.</v>
      </c>
      <c r="H9">
        <f>IF(H14="مهارتی",H1,IF(H14="رتبه 3",H2,IF(H14="رتبه 2",H3,IF(H14="رتبه 1",H4,"رتبه را وارد کنید"))))</f>
        <v>4</v>
      </c>
      <c r="I9" t="s">
        <v>16</v>
      </c>
    </row>
    <row r="10" spans="1:6" ht="15">
      <c r="A10" s="1">
        <v>9</v>
      </c>
      <c r="B10" s="11">
        <f>'فرم ارتقاء رتبه'!E185</f>
        <v>0</v>
      </c>
      <c r="C10" s="11">
        <f>'فرم ارتقاء رتبه'!G185</f>
        <v>0</v>
      </c>
      <c r="D10" s="1">
        <f t="shared" si="0"/>
        <v>0</v>
      </c>
      <c r="E10" t="str">
        <f t="shared" si="1"/>
        <v>ارتباط را مشخص کنید.</v>
      </c>
      <c r="F10" t="str">
        <f t="shared" si="2"/>
        <v>ارتباط را مشخص کنید.</v>
      </c>
    </row>
    <row r="11" spans="1:6" ht="15">
      <c r="A11" s="1">
        <v>10</v>
      </c>
      <c r="B11" s="11">
        <f>'فرم ارتقاء رتبه'!E186</f>
        <v>0</v>
      </c>
      <c r="C11" s="11">
        <f>'فرم ارتقاء رتبه'!G186</f>
        <v>0</v>
      </c>
      <c r="D11" s="1">
        <f t="shared" si="0"/>
        <v>0</v>
      </c>
      <c r="E11" t="str">
        <f t="shared" si="1"/>
        <v>ارتباط را مشخص کنید.</v>
      </c>
      <c r="F11" t="str">
        <f t="shared" si="2"/>
        <v>ارتباط را مشخص کنید.</v>
      </c>
    </row>
    <row r="12" spans="1:6" ht="15">
      <c r="A12" s="1">
        <v>11</v>
      </c>
      <c r="B12" s="11">
        <f>'فرم ارتقاء رتبه'!E187</f>
        <v>0</v>
      </c>
      <c r="C12" s="11">
        <f>'فرم ارتقاء رتبه'!G187</f>
        <v>0</v>
      </c>
      <c r="D12" s="1">
        <f t="shared" si="0"/>
        <v>0</v>
      </c>
      <c r="E12" t="str">
        <f t="shared" si="1"/>
        <v>ارتباط را مشخص کنید.</v>
      </c>
      <c r="F12" t="str">
        <f>IF(OR(C12="بله",C12="خیر"),MIN(D12:E12),"ارتباط را مشخص کنید.")</f>
        <v>ارتباط را مشخص کنید.</v>
      </c>
    </row>
    <row r="13" spans="1:8" ht="15">
      <c r="A13" s="1">
        <v>12</v>
      </c>
      <c r="B13" s="11">
        <f>'فرم ارتقاء رتبه'!E188</f>
        <v>0</v>
      </c>
      <c r="C13" s="11">
        <f>'فرم ارتقاء رتبه'!G188</f>
        <v>0</v>
      </c>
      <c r="D13" s="1">
        <f t="shared" si="0"/>
        <v>0</v>
      </c>
      <c r="E13" t="str">
        <f t="shared" si="1"/>
        <v>ارتباط را مشخص کنید.</v>
      </c>
      <c r="F13" t="str">
        <f>IF(OR(C13="بله",C13="خیر"),MIN(D13:E13),"ارتباط را مشخص کنید.")</f>
        <v>ارتباط را مشخص کنید.</v>
      </c>
      <c r="H13" s="18" t="s">
        <v>33</v>
      </c>
    </row>
    <row r="14" spans="1:8" ht="15">
      <c r="A14" s="1">
        <v>13</v>
      </c>
      <c r="B14" s="11">
        <f>'فرم ارتقاء رتبه'!E189</f>
        <v>0</v>
      </c>
      <c r="C14" s="11">
        <f>'فرم ارتقاء رتبه'!G189</f>
        <v>0</v>
      </c>
      <c r="D14" s="1">
        <f t="shared" si="0"/>
        <v>0</v>
      </c>
      <c r="E14" t="str">
        <f t="shared" si="1"/>
        <v>ارتباط را مشخص کنید.</v>
      </c>
      <c r="F14" t="str">
        <f>IF(OR(C14="بله",C14="خیر"),MIN(D14:E14),"ارتباط را مشخص کنید.")</f>
        <v>ارتباط را مشخص کنید.</v>
      </c>
      <c r="H14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</row>
    <row r="20" ht="15">
      <c r="D20">
        <f>SUM(F2:F14)</f>
        <v>4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rightToLeft="1" zoomScalePageLayoutView="0" workbookViewId="0" topLeftCell="A1">
      <selection activeCell="D2" sqref="D2"/>
    </sheetView>
  </sheetViews>
  <sheetFormatPr defaultColWidth="9.140625" defaultRowHeight="15"/>
  <cols>
    <col min="4" max="4" width="14.421875" style="0" customWidth="1"/>
  </cols>
  <sheetData>
    <row r="1" spans="1:5" ht="15">
      <c r="A1" s="1" t="s">
        <v>60</v>
      </c>
      <c r="B1" s="1" t="s">
        <v>61</v>
      </c>
      <c r="C1" s="1" t="s">
        <v>59</v>
      </c>
      <c r="D1" s="1" t="s">
        <v>40</v>
      </c>
      <c r="E1" s="1" t="s">
        <v>33</v>
      </c>
    </row>
    <row r="2" spans="1:5" ht="15">
      <c r="A2" s="1"/>
      <c r="B2" s="1">
        <f>'فرم ارتقاء رتبه'!F193</f>
        <v>0</v>
      </c>
      <c r="C2" s="11">
        <v>2</v>
      </c>
      <c r="D2" s="1" t="str">
        <f>IF(B2="کشوری",4,IF(B2="دانشگاه",3,IF(B2="واحد",2,"0")))</f>
        <v>0</v>
      </c>
      <c r="E2" s="11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</row>
    <row r="3" spans="1:4" ht="15">
      <c r="A3" s="1"/>
      <c r="B3" s="1">
        <f>'فرم ارتقاء رتبه'!F194</f>
        <v>0</v>
      </c>
      <c r="C3" s="11">
        <v>0</v>
      </c>
      <c r="D3" s="1" t="str">
        <f aca="true" t="shared" si="0" ref="D3:D11">IF(B3="کشوری",4,IF(B3="دانشگاه",3,IF(B3="واحد",2,"0")))</f>
        <v>0</v>
      </c>
    </row>
    <row r="4" spans="1:4" ht="15">
      <c r="A4" s="1"/>
      <c r="B4" s="1">
        <f>'فرم ارتقاء رتبه'!F195</f>
        <v>0</v>
      </c>
      <c r="C4" s="11">
        <v>1</v>
      </c>
      <c r="D4" s="1" t="str">
        <f t="shared" si="0"/>
        <v>0</v>
      </c>
    </row>
    <row r="5" spans="1:4" ht="15">
      <c r="A5" s="1"/>
      <c r="B5" s="1">
        <f>'فرم ارتقاء رتبه'!F196</f>
        <v>0</v>
      </c>
      <c r="C5" s="11">
        <v>0</v>
      </c>
      <c r="D5" s="1" t="str">
        <f t="shared" si="0"/>
        <v>0</v>
      </c>
    </row>
    <row r="6" spans="1:4" ht="15">
      <c r="A6" s="1"/>
      <c r="B6" s="1">
        <f>'فرم ارتقاء رتبه'!F197</f>
        <v>0</v>
      </c>
      <c r="C6" s="11">
        <v>0</v>
      </c>
      <c r="D6" s="1" t="str">
        <f t="shared" si="0"/>
        <v>0</v>
      </c>
    </row>
    <row r="7" spans="1:9" ht="15">
      <c r="A7" s="1"/>
      <c r="B7" s="1">
        <f>'فرم ارتقاء رتبه'!F198</f>
        <v>0</v>
      </c>
      <c r="C7" s="11">
        <v>0</v>
      </c>
      <c r="D7" s="1" t="str">
        <f t="shared" si="0"/>
        <v>0</v>
      </c>
      <c r="H7" s="20">
        <f>IF(E2="مهارتی",MIN(D12,6),IF(E2="رتبه 3",MIN(D12,8.5),IF(E2="رتبه 2",MIN(11,D12),IF(E2="رتبه 1",MIN(14,D12),"رتبه را وارد کنید"))))</f>
        <v>0</v>
      </c>
      <c r="I7" s="20" t="s">
        <v>16</v>
      </c>
    </row>
    <row r="8" spans="1:4" ht="15">
      <c r="A8" s="1"/>
      <c r="B8" s="1">
        <f>'فرم ارتقاء رتبه'!F199</f>
        <v>0</v>
      </c>
      <c r="C8" s="11">
        <v>0</v>
      </c>
      <c r="D8" s="1" t="str">
        <f t="shared" si="0"/>
        <v>0</v>
      </c>
    </row>
    <row r="9" spans="1:4" ht="15">
      <c r="A9" s="1"/>
      <c r="B9" s="1">
        <f>'فرم ارتقاء رتبه'!F200</f>
        <v>0</v>
      </c>
      <c r="C9" s="11">
        <v>0</v>
      </c>
      <c r="D9" s="1" t="str">
        <f t="shared" si="0"/>
        <v>0</v>
      </c>
    </row>
    <row r="10" spans="1:4" ht="15">
      <c r="A10" s="1"/>
      <c r="B10" s="1">
        <f>'فرم ارتقاء رتبه'!F201</f>
        <v>0</v>
      </c>
      <c r="C10" s="11">
        <v>0</v>
      </c>
      <c r="D10" s="1" t="str">
        <f t="shared" si="0"/>
        <v>0</v>
      </c>
    </row>
    <row r="11" spans="1:4" ht="15">
      <c r="A11" s="1"/>
      <c r="B11" s="1">
        <f>'فرم ارتقاء رتبه'!F202</f>
        <v>0</v>
      </c>
      <c r="C11" s="11">
        <v>0</v>
      </c>
      <c r="D11" s="1" t="str">
        <f t="shared" si="0"/>
        <v>0</v>
      </c>
    </row>
    <row r="12" spans="4:5" ht="15">
      <c r="D12">
        <f>SUM(D2:D11)</f>
        <v>0</v>
      </c>
      <c r="E12" t="s">
        <v>40</v>
      </c>
    </row>
  </sheetData>
  <sheetProtection password="CB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1:F6"/>
  <sheetViews>
    <sheetView rightToLeft="1" zoomScalePageLayoutView="0" workbookViewId="0" topLeftCell="A1">
      <selection activeCell="F2" sqref="F2"/>
    </sheetView>
  </sheetViews>
  <sheetFormatPr defaultColWidth="9.140625" defaultRowHeight="15"/>
  <sheetData>
    <row r="1" spans="4:6" ht="15">
      <c r="D1" t="s">
        <v>40</v>
      </c>
      <c r="E1" t="s">
        <v>33</v>
      </c>
      <c r="F1" t="s">
        <v>16</v>
      </c>
    </row>
    <row r="2" spans="4:6" ht="15">
      <c r="D2" s="21">
        <f>'فرم ارتقاء رتبه'!C208</f>
        <v>31.066666666666666</v>
      </c>
      <c r="E2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  <c r="F2">
        <f>IF(E2="مهارتی",MIN(D2,32.4),IF(E2="رتبه 3",MIN(D2,52.2),IF(E2="رتبه 2",MIN(68.9,D2),IF(E2="رتبه 1",MIN(86.6,D2),"رتبه یا امتیاز را وارد کنید"))))</f>
        <v>31.066666666666666</v>
      </c>
    </row>
    <row r="6" ht="15">
      <c r="F6">
        <f>IF(E2="مهارتی",32.4,IF(E2="رتبه 3",52.2,IF(E2="رتبه 2",68.9,IF(E2="رتبه 1",86.6,"رتبه یا امتیاز را وارد کنید"))))</f>
        <v>32.4</v>
      </c>
    </row>
  </sheetData>
  <sheetProtection password="CB42" sheet="1" objects="1" scenarios="1"/>
  <printOptions/>
  <pageMargins left="0.7" right="0.7" top="0.75" bottom="0.75" header="0.3" footer="0.3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1:F6"/>
  <sheetViews>
    <sheetView rightToLeft="1" zoomScalePageLayoutView="0" workbookViewId="0" topLeftCell="A1">
      <selection activeCell="E14" sqref="E14:E20"/>
    </sheetView>
  </sheetViews>
  <sheetFormatPr defaultColWidth="9.140625" defaultRowHeight="15"/>
  <sheetData>
    <row r="1" spans="4:6" ht="15">
      <c r="D1" s="1" t="s">
        <v>40</v>
      </c>
      <c r="E1" s="1" t="s">
        <v>33</v>
      </c>
      <c r="F1" s="12" t="s">
        <v>16</v>
      </c>
    </row>
    <row r="2" spans="4:6" ht="15">
      <c r="D2" s="11">
        <f>'فرم ارتقاء رتبه'!C214</f>
        <v>51.599999999999994</v>
      </c>
      <c r="E2" s="11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  <c r="F2" s="12">
        <f>IF(E2="مهارتی",MIN(D2,51.4),IF(E2="رتبه 3",MIN(D2,72.2),IF(E2="رتبه 2",MIN(93.9,D2),IF(E2="رتبه 1",MIN(118.6,D2),"رتبه یا امتیاز را وارد کنید"))))</f>
        <v>51.4</v>
      </c>
    </row>
    <row r="6" ht="15">
      <c r="F6">
        <f>IF(E2="مهارتی",51.4,IF(E2="رتبه 3",72.2,IF(E2="رتبه 2",93.9,IF(E2="رتبه 1",118.6,"رتبه یا امتیاز را وارد کنید"))))</f>
        <v>51.4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G14"/>
  <sheetViews>
    <sheetView rightToLeft="1" zoomScalePageLayoutView="0" workbookViewId="0" topLeftCell="A1">
      <selection activeCell="G15" sqref="G15"/>
    </sheetView>
  </sheetViews>
  <sheetFormatPr defaultColWidth="9.140625" defaultRowHeight="15"/>
  <sheetData>
    <row r="3" spans="1:7" ht="15">
      <c r="A3" t="str">
        <f>'فرم ارتقاء رتبه'!G4</f>
        <v>مهارتی</v>
      </c>
      <c r="B3" t="s">
        <v>137</v>
      </c>
      <c r="D3" s="132" t="s">
        <v>128</v>
      </c>
      <c r="E3" s="132"/>
      <c r="F3" s="132"/>
      <c r="G3" s="29" t="e">
        <f>'فرم ارتقاء رتبه'!D216+'فرم ارتقاء رتبه'!D137+'فرم ارتقاء رتبه'!D99+'فرم ارتقاء رتبه'!C14</f>
        <v>#VALUE!</v>
      </c>
    </row>
    <row r="4" spans="4:6" ht="15">
      <c r="D4" s="132"/>
      <c r="E4" s="132"/>
      <c r="F4" s="132"/>
    </row>
    <row r="6" spans="4:7" ht="15">
      <c r="D6" s="133" t="s">
        <v>129</v>
      </c>
      <c r="E6" s="133"/>
      <c r="F6" s="133"/>
      <c r="G6" s="29" t="e">
        <f>'فرم ارتقاء رتبه'!K105+'فرم ارتقاء رتبه'!K115+'فرم ارتقاء رتبه'!K148+'فرم ارتقاء رتبه'!K158+'فرم ارتقاء رتبه'!K168+'فرم ارتقاء رتبه'!K174+'فرم ارتقاء رتبه'!K190+'فرم ارتقاء رتبه'!K203+G3</f>
        <v>#VALUE!</v>
      </c>
    </row>
    <row r="7" spans="4:6" ht="15">
      <c r="D7" s="133"/>
      <c r="E7" s="133"/>
      <c r="F7" s="133"/>
    </row>
    <row r="10" ht="15">
      <c r="G10" t="e">
        <f>IF(AND(A3="مهارتی",G3&lt;=470),G6,IF(AND(A3="رتبه 3",G3&lt;=680),G6,IF(AND(A3="رتبه 2",G3&lt;=950),G6,IF(AND(A3="رتبه 1",G3&lt;=1200),G6,G3))))</f>
        <v>#VALUE!</v>
      </c>
    </row>
    <row r="14" ht="15">
      <c r="G14" t="e">
        <f>IF(AND(A3="مهارتی",G10&gt;=470),"تبریک...شما به رتبه مورد نظر ارتقاء یافتید.",IF(AND(A3="رتبه 3",G10&gt;=650),"تبریک...شما به رتبه مورد نظر ارتقاء یافتید.",IF(AND(A3="رتبه 2",G10&gt;=950),"تبریک...شما به رتبه مورد نظر ارتقاء یافتید.",IF(AND(A3="رتبه 1",G10&gt;=1200),"تبریک...شما به رتبه مورد نظر ارتقاء یافتید.","امتیاز مورد نیاز کسب نشد."))))</f>
        <v>#VALUE!</v>
      </c>
    </row>
  </sheetData>
  <sheetProtection password="CB42" sheet="1" objects="1" scenarios="1"/>
  <mergeCells count="2">
    <mergeCell ref="D3:F4"/>
    <mergeCell ref="D6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rightToLeft="1" zoomScalePageLayoutView="0" workbookViewId="0" topLeftCell="A1">
      <selection activeCell="F9" sqref="F9"/>
    </sheetView>
  </sheetViews>
  <sheetFormatPr defaultColWidth="9.140625" defaultRowHeight="15"/>
  <cols>
    <col min="6" max="6" width="12.00390625" style="0" customWidth="1"/>
  </cols>
  <sheetData>
    <row r="1" spans="1:11" ht="15">
      <c r="A1" s="1">
        <v>140</v>
      </c>
      <c r="B1" s="1" t="s">
        <v>10</v>
      </c>
      <c r="D1" s="1">
        <v>0.2</v>
      </c>
      <c r="E1" s="1" t="s">
        <v>21</v>
      </c>
      <c r="G1" s="1">
        <v>0.2</v>
      </c>
      <c r="H1" s="1" t="s">
        <v>22</v>
      </c>
      <c r="J1" s="1">
        <v>0.15</v>
      </c>
      <c r="K1" s="1"/>
    </row>
    <row r="2" spans="1:11" ht="15">
      <c r="A2" s="1">
        <v>210</v>
      </c>
      <c r="B2" s="1" t="s">
        <v>11</v>
      </c>
      <c r="D2" s="1">
        <v>0.15</v>
      </c>
      <c r="E2" s="1" t="s">
        <v>24</v>
      </c>
      <c r="G2" s="1">
        <v>0.15</v>
      </c>
      <c r="H2" s="1" t="s">
        <v>25</v>
      </c>
      <c r="J2" s="1">
        <v>0.1</v>
      </c>
      <c r="K2" s="1"/>
    </row>
    <row r="3" spans="1:11" ht="15">
      <c r="A3" s="1">
        <v>280</v>
      </c>
      <c r="B3" s="1" t="s">
        <v>12</v>
      </c>
      <c r="G3" s="1">
        <v>0.1</v>
      </c>
      <c r="H3" s="1" t="s">
        <v>26</v>
      </c>
      <c r="J3" s="1">
        <v>0.05</v>
      </c>
      <c r="K3" s="1"/>
    </row>
    <row r="4" spans="1:2" ht="15">
      <c r="A4" s="1">
        <v>400</v>
      </c>
      <c r="B4" s="1" t="s">
        <v>13</v>
      </c>
    </row>
    <row r="5" spans="1:2" ht="15">
      <c r="A5" s="1">
        <v>0.45</v>
      </c>
      <c r="B5" s="1" t="s">
        <v>23</v>
      </c>
    </row>
    <row r="7" spans="1:6" ht="15">
      <c r="A7" s="115" t="s">
        <v>17</v>
      </c>
      <c r="B7" s="115"/>
      <c r="C7" s="115"/>
      <c r="D7" s="115"/>
      <c r="E7" s="11">
        <f>'فرم ارتقاء رتبه'!B8</f>
        <v>0</v>
      </c>
      <c r="F7" s="13" t="str">
        <f>IF(E7="فوق دیپلم",A1*A5,IF(E7="لیسانس",A2*A5,IF(E7="فوق لیسانس",A3*A5,IF(E7="دکتری",A4*A5,"خطا در وارد کردن"))))</f>
        <v>خطا در وارد کردن</v>
      </c>
    </row>
    <row r="8" spans="1:6" ht="15">
      <c r="A8" s="115" t="s">
        <v>18</v>
      </c>
      <c r="B8" s="115"/>
      <c r="C8" s="115"/>
      <c r="D8" s="115"/>
      <c r="E8" s="11" t="str">
        <f>'فرم ارتقاء رتبه'!H11</f>
        <v>مرتبط</v>
      </c>
      <c r="F8" s="13" t="e">
        <f>IF(E8="مرتبط",(F7/A5)*D1,IF(E8="غیر مرتبط",(F7/A5)*D2,"خطا در وارد کردن"))</f>
        <v>#VALUE!</v>
      </c>
    </row>
    <row r="9" spans="1:6" ht="15">
      <c r="A9" s="115" t="s">
        <v>20</v>
      </c>
      <c r="B9" s="115"/>
      <c r="C9" s="115"/>
      <c r="D9" s="115"/>
      <c r="E9" s="11" t="str">
        <f>'فرم ارتقاء رتبه'!H12</f>
        <v>ازاد</v>
      </c>
      <c r="F9" s="13" t="e">
        <f>IF(OR(E9="دولتی",E9="خارجی"),G1*(F7/A5),IF(OR(E9="ازاد",E9="پیام نور"),G2*(F7/A5),IF(OR(E9="غیر انتفاعی",E9="سایر"),G3*(F7/A5),"خطا در وارد کردن")))</f>
        <v>#VALUE!</v>
      </c>
    </row>
    <row r="10" spans="1:6" ht="15">
      <c r="A10" s="115" t="s">
        <v>19</v>
      </c>
      <c r="B10" s="115"/>
      <c r="C10" s="115"/>
      <c r="D10" s="115"/>
      <c r="E10" s="14">
        <f>'فرم ارتقاء رتبه'!H8</f>
        <v>0</v>
      </c>
      <c r="F10" s="1" t="e">
        <f>IF(E10&lt;=13.99,(F7/A5)*J3,IF(E10&lt;=16.99,(F7/A5)*J2,(F7/A5)*J1))</f>
        <v>#VALUE!</v>
      </c>
    </row>
    <row r="13" spans="2:5" ht="15">
      <c r="B13" s="116" t="e">
        <f>SUM(F7:F10)</f>
        <v>#VALUE!</v>
      </c>
      <c r="C13" s="117"/>
      <c r="D13" s="118"/>
      <c r="E13" s="12" t="s">
        <v>16</v>
      </c>
    </row>
  </sheetData>
  <sheetProtection password="CB42" sheet="1" objects="1" scenarios="1"/>
  <mergeCells count="5">
    <mergeCell ref="A8:D8"/>
    <mergeCell ref="A7:D7"/>
    <mergeCell ref="A9:D9"/>
    <mergeCell ref="A10:D10"/>
    <mergeCell ref="B13:D13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"/>
  <sheetViews>
    <sheetView rightToLeft="1" zoomScalePageLayoutView="0" workbookViewId="0" topLeftCell="A1">
      <selection activeCell="F7" sqref="F7"/>
    </sheetView>
  </sheetViews>
  <sheetFormatPr defaultColWidth="9.140625" defaultRowHeight="15"/>
  <cols>
    <col min="1" max="7" width="9.00390625" style="0" customWidth="1"/>
  </cols>
  <sheetData>
    <row r="1" spans="1:10" ht="15">
      <c r="A1" t="s">
        <v>164</v>
      </c>
      <c r="B1" t="s">
        <v>160</v>
      </c>
      <c r="C1" t="s">
        <v>163</v>
      </c>
      <c r="D1" t="s">
        <v>160</v>
      </c>
      <c r="E1" t="s">
        <v>162</v>
      </c>
      <c r="F1" t="s">
        <v>160</v>
      </c>
      <c r="G1" t="s">
        <v>161</v>
      </c>
      <c r="H1" s="131" t="s">
        <v>165</v>
      </c>
      <c r="I1" s="131"/>
      <c r="J1" s="131"/>
    </row>
    <row r="2" spans="1:10" ht="15">
      <c r="A2">
        <f>'فرم ارتقاء رتبه'!D206</f>
        <v>16</v>
      </c>
      <c r="B2" s="21">
        <f>(IF('فرم ارتقاء رتبه'!G4="مهارتی",A2*5.4,IF('فرم ارتقاء رتبه'!G4="رتبه 3",A2*8.7,IF('فرم ارتقاء رتبه'!G4="رتبه 2",A2*11.5,A2*14.4))))/3</f>
        <v>28.8</v>
      </c>
      <c r="C2">
        <f>'فرم ارتقاء رتبه'!F206</f>
        <v>2</v>
      </c>
      <c r="D2" s="21">
        <f>(IF('فرم ارتقاء رتبه'!G4="مهارتی",C2*3.4,IF('فرم ارتقاء رتبه'!G4="رتبه 3",C2*6.7,IF('فرم ارتقاء رتبه'!G4="رتبه 2",C2*9.5,C2*12.4))))/3</f>
        <v>2.2666666666666666</v>
      </c>
      <c r="E2">
        <f>'فرم ارتقاء رتبه'!H206</f>
        <v>0</v>
      </c>
      <c r="F2" s="21">
        <f>(IF('فرم ارتقاء رتبه'!G4="مهارتی",E2*2.4,IF('فرم ارتقاء رتبه'!G4="رتبه 3",E2*4.7,IF('فرم ارتقاء رتبه'!G4="رتبه 2",E2*7.5,E2*10.4))))/3</f>
        <v>0</v>
      </c>
      <c r="G2" s="21">
        <f>F2+D2+B2</f>
        <v>31.066666666666666</v>
      </c>
      <c r="H2" s="131"/>
      <c r="I2" s="131"/>
      <c r="J2" s="131"/>
    </row>
    <row r="5" spans="1:10" ht="15">
      <c r="A5" t="s">
        <v>164</v>
      </c>
      <c r="B5" t="s">
        <v>160</v>
      </c>
      <c r="C5" t="s">
        <v>163</v>
      </c>
      <c r="D5" t="s">
        <v>160</v>
      </c>
      <c r="E5" t="s">
        <v>162</v>
      </c>
      <c r="F5" t="s">
        <v>160</v>
      </c>
      <c r="G5" t="s">
        <v>161</v>
      </c>
      <c r="H5" s="131" t="s">
        <v>155</v>
      </c>
      <c r="I5" s="131"/>
      <c r="J5" s="131"/>
    </row>
    <row r="6" spans="1:10" ht="15">
      <c r="A6">
        <f>'فرم ارتقاء رتبه'!D212</f>
        <v>18</v>
      </c>
      <c r="B6" s="21">
        <f>(IF('فرم ارتقاء رتبه'!G4="مهارتی",A6*8.6,IF('فرم ارتقاء رتبه'!G4="رتبه 3",A6*12.1,IF('فرم ارتقاء رتبه'!G4="رتبه 2",A6*15.6,A6*19.8))))/3</f>
        <v>51.599999999999994</v>
      </c>
      <c r="C6">
        <f>'فرم ارتقاء رتبه'!F212</f>
        <v>0</v>
      </c>
      <c r="D6" s="21">
        <f>(IF('فرم ارتقاء رتبه'!G4="مهارتی",C6*6.6,IF('فرم ارتقاء رتبه'!G4="رتبه 3",C6*10.1,IF('فرم ارتقاء رتبه'!G4="رتبه 2",C6*13.6,C6*17.8))))/3</f>
        <v>0</v>
      </c>
      <c r="E6">
        <f>'فرم ارتقاء رتبه'!H212</f>
        <v>0</v>
      </c>
      <c r="F6" s="21">
        <f>(IF('فرم ارتقاء رتبه'!G4="مهارتی",E6*4.6,IF('فرم ارتقاء رتبه'!G4="رتبه 3",E6*8.1,IF('فرم ارتقاء رتبه'!G4="رتبه 2",E6*11.6,E6*15.8))))/3</f>
        <v>0</v>
      </c>
      <c r="G6" s="21">
        <f>F6+D6+B6</f>
        <v>51.599999999999994</v>
      </c>
      <c r="H6" s="131"/>
      <c r="I6" s="131"/>
      <c r="J6" s="131"/>
    </row>
  </sheetData>
  <sheetProtection/>
  <mergeCells count="2">
    <mergeCell ref="H1:J2"/>
    <mergeCell ref="H5:J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"/>
  <sheetViews>
    <sheetView rightToLeft="1" zoomScalePageLayoutView="0" workbookViewId="0" topLeftCell="A1">
      <selection activeCell="A1" sqref="A1:F24"/>
    </sheetView>
  </sheetViews>
  <sheetFormatPr defaultColWidth="9.140625" defaultRowHeight="15"/>
  <cols>
    <col min="1" max="1" width="43.7109375" style="0" customWidth="1"/>
    <col min="2" max="2" width="9.00390625" style="0" customWidth="1"/>
    <col min="4" max="4" width="9.00390625" style="26" customWidth="1"/>
    <col min="5" max="5" width="13.00390625" style="0" customWidth="1"/>
    <col min="6" max="6" width="21.8515625" style="0" customWidth="1"/>
  </cols>
  <sheetData>
    <row r="1" spans="1:6" ht="15">
      <c r="A1" s="24" t="s">
        <v>121</v>
      </c>
      <c r="B1" t="s">
        <v>84</v>
      </c>
      <c r="C1" t="s">
        <v>85</v>
      </c>
      <c r="D1" s="26" t="s">
        <v>122</v>
      </c>
      <c r="E1" t="s">
        <v>123</v>
      </c>
      <c r="F1" s="1" t="s">
        <v>124</v>
      </c>
    </row>
    <row r="2" spans="4:6" ht="15">
      <c r="D2" s="26">
        <v>213</v>
      </c>
      <c r="E2" t="s">
        <v>170</v>
      </c>
      <c r="F2" s="1">
        <f>'دوره های اموزشی'!E1</f>
        <v>213</v>
      </c>
    </row>
  </sheetData>
  <sheetProtection/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rightToLeft="1" zoomScalePageLayoutView="0" workbookViewId="0" topLeftCell="A52">
      <selection activeCell="G54" sqref="G54"/>
    </sheetView>
  </sheetViews>
  <sheetFormatPr defaultColWidth="9.140625" defaultRowHeight="15"/>
  <cols>
    <col min="1" max="1" width="9.00390625" style="8" customWidth="1"/>
    <col min="2" max="2" width="12.421875" style="0" customWidth="1"/>
    <col min="3" max="3" width="11.28125" style="0" customWidth="1"/>
  </cols>
  <sheetData>
    <row r="1" spans="7:8" ht="15">
      <c r="G1">
        <v>12</v>
      </c>
      <c r="H1" t="s">
        <v>15</v>
      </c>
    </row>
    <row r="2" spans="7:8" ht="15">
      <c r="G2">
        <v>17</v>
      </c>
      <c r="H2" t="s">
        <v>10</v>
      </c>
    </row>
    <row r="3" spans="7:8" ht="15">
      <c r="G3">
        <v>22</v>
      </c>
      <c r="H3" t="s">
        <v>11</v>
      </c>
    </row>
    <row r="4" spans="7:8" ht="15">
      <c r="G4">
        <v>25</v>
      </c>
      <c r="H4" t="s">
        <v>12</v>
      </c>
    </row>
    <row r="5" spans="7:8" ht="15">
      <c r="G5">
        <v>28</v>
      </c>
      <c r="H5" t="s">
        <v>13</v>
      </c>
    </row>
    <row r="7" spans="1:9" ht="15">
      <c r="A7" s="121" t="s">
        <v>15</v>
      </c>
      <c r="B7" s="7" t="s">
        <v>0</v>
      </c>
      <c r="C7" s="1" t="s">
        <v>1</v>
      </c>
      <c r="D7" s="1" t="s">
        <v>2</v>
      </c>
      <c r="E7" s="5"/>
      <c r="F7" s="5"/>
      <c r="G7" s="5"/>
      <c r="H7" s="5"/>
      <c r="I7" s="6"/>
    </row>
    <row r="8" spans="1:9" ht="15">
      <c r="A8" s="122"/>
      <c r="B8" s="10">
        <f>'فرم ارتقاء رتبه'!E17</f>
        <v>0</v>
      </c>
      <c r="C8" s="10">
        <f>'فرم ارتقاء رتبه'!F17</f>
        <v>0</v>
      </c>
      <c r="D8" s="1" t="s">
        <v>3</v>
      </c>
      <c r="G8" s="1">
        <f>IF(B8&lt;=C8,C8-B8,(C8+30)-B8)</f>
        <v>0</v>
      </c>
      <c r="H8" s="1" t="s">
        <v>6</v>
      </c>
      <c r="I8" s="2"/>
    </row>
    <row r="9" spans="1:9" ht="15">
      <c r="A9" s="122"/>
      <c r="B9" s="10">
        <f>'فرم ارتقاء رتبه'!E18</f>
        <v>0</v>
      </c>
      <c r="C9" s="10">
        <f>'فرم ارتقاء رتبه'!F18</f>
        <v>0</v>
      </c>
      <c r="D9" s="1" t="s">
        <v>4</v>
      </c>
      <c r="G9" s="1">
        <f>IF(B9&lt;=C13,C13-B9,(C13+12)-B9)</f>
        <v>0</v>
      </c>
      <c r="H9" s="1" t="s">
        <v>7</v>
      </c>
      <c r="I9" s="2"/>
    </row>
    <row r="10" spans="1:9" ht="15">
      <c r="A10" s="122"/>
      <c r="B10" s="10">
        <f>'فرم ارتقاء رتبه'!E19</f>
        <v>0</v>
      </c>
      <c r="C10" s="10">
        <f>'فرم ارتقاء رتبه'!F19</f>
        <v>0</v>
      </c>
      <c r="D10" s="1" t="s">
        <v>5</v>
      </c>
      <c r="G10" s="1">
        <f>IF(B10&lt;=C14,C14-B10)</f>
        <v>0</v>
      </c>
      <c r="H10" s="1" t="s">
        <v>8</v>
      </c>
      <c r="I10" s="2"/>
    </row>
    <row r="11" spans="1:9" ht="15">
      <c r="A11" s="122"/>
      <c r="I11" s="2"/>
    </row>
    <row r="12" spans="1:9" ht="15">
      <c r="A12" s="122"/>
      <c r="I12" s="2"/>
    </row>
    <row r="13" spans="1:9" ht="15">
      <c r="A13" s="122"/>
      <c r="C13" s="1">
        <f>IF(B8&gt;C8,C9-1,C9)</f>
        <v>0</v>
      </c>
      <c r="D13" s="119" t="s">
        <v>14</v>
      </c>
      <c r="I13" s="2"/>
    </row>
    <row r="14" spans="1:9" ht="15">
      <c r="A14" s="122"/>
      <c r="C14" s="1">
        <f>IF(B9&gt;C9,C10-1,C10)</f>
        <v>0</v>
      </c>
      <c r="D14" s="120"/>
      <c r="G14">
        <f>(((G10*365)+(G9*30)+G8)/365)*12</f>
        <v>0</v>
      </c>
      <c r="H14" t="s">
        <v>9</v>
      </c>
      <c r="I14" s="2"/>
    </row>
    <row r="15" spans="1:9" ht="15">
      <c r="A15" s="123"/>
      <c r="B15" s="3"/>
      <c r="C15" s="3"/>
      <c r="D15" s="3"/>
      <c r="E15" s="3"/>
      <c r="F15" s="3"/>
      <c r="G15" s="3"/>
      <c r="H15" s="3"/>
      <c r="I15" s="4"/>
    </row>
    <row r="17" spans="1:9" ht="15">
      <c r="A17" s="121" t="s">
        <v>10</v>
      </c>
      <c r="B17" s="7" t="s">
        <v>0</v>
      </c>
      <c r="C17" s="1" t="s">
        <v>1</v>
      </c>
      <c r="D17" s="1" t="s">
        <v>2</v>
      </c>
      <c r="E17" s="5"/>
      <c r="F17" s="5"/>
      <c r="G17" s="5"/>
      <c r="H17" s="5"/>
      <c r="I17" s="6"/>
    </row>
    <row r="18" spans="1:9" ht="15">
      <c r="A18" s="122"/>
      <c r="B18" s="10">
        <f>'فرم ارتقاء رتبه'!E20</f>
        <v>0</v>
      </c>
      <c r="C18" s="11">
        <f>'فرم ارتقاء رتبه'!F20</f>
        <v>0</v>
      </c>
      <c r="D18" s="1" t="s">
        <v>3</v>
      </c>
      <c r="G18" s="1">
        <f>IF(B18&lt;=C18,C18-B18,(C18+30)-B18)</f>
        <v>0</v>
      </c>
      <c r="H18" s="1" t="s">
        <v>6</v>
      </c>
      <c r="I18" s="2"/>
    </row>
    <row r="19" spans="1:9" ht="15">
      <c r="A19" s="122"/>
      <c r="B19" s="10">
        <f>'فرم ارتقاء رتبه'!E21</f>
        <v>0</v>
      </c>
      <c r="C19" s="11">
        <f>'فرم ارتقاء رتبه'!F21</f>
        <v>0</v>
      </c>
      <c r="D19" s="1" t="s">
        <v>4</v>
      </c>
      <c r="G19" s="1">
        <f>IF(B19&lt;=C23,C23-B19,(C23+12)-B19)</f>
        <v>0</v>
      </c>
      <c r="H19" s="1" t="s">
        <v>7</v>
      </c>
      <c r="I19" s="2"/>
    </row>
    <row r="20" spans="1:9" ht="15">
      <c r="A20" s="122"/>
      <c r="B20" s="10">
        <f>'فرم ارتقاء رتبه'!E22</f>
        <v>0</v>
      </c>
      <c r="C20" s="11">
        <f>'فرم ارتقاء رتبه'!F22</f>
        <v>0</v>
      </c>
      <c r="D20" s="1" t="s">
        <v>5</v>
      </c>
      <c r="G20" s="1">
        <f>IF(B20&lt;=C24,C24-B20)</f>
        <v>0</v>
      </c>
      <c r="H20" s="1" t="s">
        <v>8</v>
      </c>
      <c r="I20" s="2"/>
    </row>
    <row r="21" spans="1:9" ht="15">
      <c r="A21" s="122"/>
      <c r="I21" s="2"/>
    </row>
    <row r="22" spans="1:9" ht="15">
      <c r="A22" s="122"/>
      <c r="I22" s="2"/>
    </row>
    <row r="23" spans="1:9" ht="15">
      <c r="A23" s="122"/>
      <c r="C23" s="1">
        <f>IF(B18&gt;C18,C19-1,C19)</f>
        <v>0</v>
      </c>
      <c r="D23" s="119" t="s">
        <v>14</v>
      </c>
      <c r="I23" s="2"/>
    </row>
    <row r="24" spans="1:9" ht="15">
      <c r="A24" s="122"/>
      <c r="C24" s="1">
        <f>IF(B19&gt;C19,C20-1,C20)</f>
        <v>0</v>
      </c>
      <c r="D24" s="120"/>
      <c r="G24">
        <f>(((G20*365)+(G19*30)+G18)/365)*17</f>
        <v>0</v>
      </c>
      <c r="H24" t="s">
        <v>9</v>
      </c>
      <c r="I24" s="2"/>
    </row>
    <row r="25" spans="1:9" ht="15">
      <c r="A25" s="123"/>
      <c r="B25" s="3"/>
      <c r="C25" s="3"/>
      <c r="D25" s="3"/>
      <c r="E25" s="3"/>
      <c r="F25" s="3"/>
      <c r="G25" s="3"/>
      <c r="H25" s="3"/>
      <c r="I25" s="4"/>
    </row>
    <row r="27" spans="1:9" ht="15">
      <c r="A27" s="121" t="s">
        <v>11</v>
      </c>
      <c r="B27" s="7" t="s">
        <v>0</v>
      </c>
      <c r="C27" s="1" t="s">
        <v>1</v>
      </c>
      <c r="D27" s="1" t="s">
        <v>2</v>
      </c>
      <c r="E27" s="5"/>
      <c r="F27" s="5"/>
      <c r="G27" s="5"/>
      <c r="H27" s="5"/>
      <c r="I27" s="6"/>
    </row>
    <row r="28" spans="1:9" ht="15">
      <c r="A28" s="122"/>
      <c r="B28" s="10">
        <f>'فرم ارتقاء رتبه'!E23</f>
        <v>1</v>
      </c>
      <c r="C28" s="11">
        <f>'فرم ارتقاء رتبه'!F23</f>
        <v>1</v>
      </c>
      <c r="D28" s="1" t="s">
        <v>3</v>
      </c>
      <c r="G28" s="1">
        <f>IF(B28&lt;=C28,C28-B28,(C28+30)-B28)</f>
        <v>0</v>
      </c>
      <c r="H28" s="1" t="s">
        <v>6</v>
      </c>
      <c r="I28" s="2"/>
    </row>
    <row r="29" spans="1:9" ht="15">
      <c r="A29" s="122"/>
      <c r="B29" s="10">
        <f>'فرم ارتقاء رتبه'!E24</f>
        <v>7</v>
      </c>
      <c r="C29" s="11">
        <f>'فرم ارتقاء رتبه'!F24</f>
        <v>10</v>
      </c>
      <c r="D29" s="1" t="s">
        <v>4</v>
      </c>
      <c r="G29" s="1">
        <f>IF(B29&lt;=C33,C33-B29,(C33+12)-B29)</f>
        <v>3</v>
      </c>
      <c r="H29" s="1" t="s">
        <v>7</v>
      </c>
      <c r="I29" s="2"/>
    </row>
    <row r="30" spans="1:9" ht="15">
      <c r="A30" s="122"/>
      <c r="B30" s="10">
        <f>'فرم ارتقاء رتبه'!E25</f>
        <v>81</v>
      </c>
      <c r="C30" s="11">
        <f>'فرم ارتقاء رتبه'!F25</f>
        <v>96</v>
      </c>
      <c r="D30" s="1" t="s">
        <v>5</v>
      </c>
      <c r="G30" s="1">
        <f>IF(B30&lt;=C34,C34-B30)</f>
        <v>15</v>
      </c>
      <c r="H30" s="1" t="s">
        <v>8</v>
      </c>
      <c r="I30" s="2"/>
    </row>
    <row r="31" spans="1:9" ht="15">
      <c r="A31" s="122"/>
      <c r="I31" s="2"/>
    </row>
    <row r="32" spans="1:9" ht="15">
      <c r="A32" s="122"/>
      <c r="I32" s="2"/>
    </row>
    <row r="33" spans="1:9" ht="15">
      <c r="A33" s="122"/>
      <c r="C33" s="1">
        <f>IF(B28&gt;C28,C29-1,C29)</f>
        <v>10</v>
      </c>
      <c r="D33" s="119" t="s">
        <v>14</v>
      </c>
      <c r="I33" s="2"/>
    </row>
    <row r="34" spans="1:9" ht="15">
      <c r="A34" s="122"/>
      <c r="C34" s="1">
        <f>IF(B29&gt;C29,C30-1,C30)</f>
        <v>96</v>
      </c>
      <c r="D34" s="120"/>
      <c r="G34">
        <f>(((G30*365)+(G29*30)+G28)/365)*22</f>
        <v>335.4246575342466</v>
      </c>
      <c r="H34" t="s">
        <v>9</v>
      </c>
      <c r="I34" s="2"/>
    </row>
    <row r="35" spans="1:9" ht="15">
      <c r="A35" s="123"/>
      <c r="B35" s="3"/>
      <c r="C35" s="3"/>
      <c r="D35" s="3"/>
      <c r="E35" s="3"/>
      <c r="F35" s="3"/>
      <c r="G35" s="3"/>
      <c r="H35" s="3"/>
      <c r="I35" s="4"/>
    </row>
    <row r="37" spans="1:9" ht="15">
      <c r="A37" s="121" t="s">
        <v>12</v>
      </c>
      <c r="B37" s="7" t="s">
        <v>0</v>
      </c>
      <c r="C37" s="1" t="s">
        <v>1</v>
      </c>
      <c r="D37" s="1" t="s">
        <v>2</v>
      </c>
      <c r="E37" s="5"/>
      <c r="F37" s="5"/>
      <c r="G37" s="5"/>
      <c r="H37" s="5"/>
      <c r="I37" s="6"/>
    </row>
    <row r="38" spans="1:9" ht="15">
      <c r="A38" s="122"/>
      <c r="B38" s="10">
        <f>'فرم ارتقاء رتبه'!E26</f>
        <v>0</v>
      </c>
      <c r="C38" s="11">
        <f>'فرم ارتقاء رتبه'!F26</f>
        <v>0</v>
      </c>
      <c r="D38" s="1" t="s">
        <v>3</v>
      </c>
      <c r="G38" s="1">
        <f>IF(B38&lt;=C38,C38-B38,(C38+30)-B38)</f>
        <v>0</v>
      </c>
      <c r="H38" s="1" t="s">
        <v>6</v>
      </c>
      <c r="I38" s="2"/>
    </row>
    <row r="39" spans="1:9" ht="15">
      <c r="A39" s="122"/>
      <c r="B39" s="10">
        <f>'فرم ارتقاء رتبه'!E27</f>
        <v>0</v>
      </c>
      <c r="C39" s="11">
        <f>'فرم ارتقاء رتبه'!F27</f>
        <v>0</v>
      </c>
      <c r="D39" s="1" t="s">
        <v>4</v>
      </c>
      <c r="G39" s="1">
        <f>IF(B39&lt;=C43,C43-B39,(C43+12)-B39)</f>
        <v>0</v>
      </c>
      <c r="H39" s="1" t="s">
        <v>7</v>
      </c>
      <c r="I39" s="2"/>
    </row>
    <row r="40" spans="1:9" ht="15">
      <c r="A40" s="122"/>
      <c r="B40" s="10">
        <f>'فرم ارتقاء رتبه'!E28</f>
        <v>0</v>
      </c>
      <c r="C40" s="11">
        <f>'فرم ارتقاء رتبه'!F28</f>
        <v>0</v>
      </c>
      <c r="D40" s="1" t="s">
        <v>5</v>
      </c>
      <c r="G40" s="1">
        <f>IF(B40&lt;=C44,C44-B40)</f>
        <v>0</v>
      </c>
      <c r="H40" s="1" t="s">
        <v>8</v>
      </c>
      <c r="I40" s="2"/>
    </row>
    <row r="41" spans="1:9" ht="15">
      <c r="A41" s="122"/>
      <c r="I41" s="2"/>
    </row>
    <row r="42" spans="1:9" ht="15">
      <c r="A42" s="122"/>
      <c r="I42" s="2"/>
    </row>
    <row r="43" spans="1:9" ht="15">
      <c r="A43" s="122"/>
      <c r="C43" s="1">
        <f>IF(B38&gt;C38,C39-1,C39)</f>
        <v>0</v>
      </c>
      <c r="D43" s="119" t="s">
        <v>14</v>
      </c>
      <c r="I43" s="2"/>
    </row>
    <row r="44" spans="1:9" ht="15">
      <c r="A44" s="122"/>
      <c r="C44" s="1">
        <f>IF(B39&gt;C39,C40-1,C40)</f>
        <v>0</v>
      </c>
      <c r="D44" s="120"/>
      <c r="G44">
        <f>(((G40*365)+(G39*30)+G38)/365)*25</f>
        <v>0</v>
      </c>
      <c r="H44" t="s">
        <v>9</v>
      </c>
      <c r="I44" s="2"/>
    </row>
    <row r="45" spans="1:9" ht="15">
      <c r="A45" s="123"/>
      <c r="B45" s="3"/>
      <c r="C45" s="3"/>
      <c r="D45" s="3"/>
      <c r="E45" s="3"/>
      <c r="F45" s="3"/>
      <c r="G45" s="3"/>
      <c r="H45" s="3"/>
      <c r="I45" s="4"/>
    </row>
    <row r="47" spans="1:9" ht="15">
      <c r="A47" s="121" t="s">
        <v>13</v>
      </c>
      <c r="B47" s="7" t="s">
        <v>0</v>
      </c>
      <c r="C47" s="1" t="s">
        <v>1</v>
      </c>
      <c r="D47" s="1" t="s">
        <v>2</v>
      </c>
      <c r="E47" s="5"/>
      <c r="F47" s="5"/>
      <c r="G47" s="5"/>
      <c r="H47" s="5"/>
      <c r="I47" s="6"/>
    </row>
    <row r="48" spans="1:9" ht="15">
      <c r="A48" s="122"/>
      <c r="B48" s="10">
        <f>'فرم ارتقاء رتبه'!E29</f>
        <v>0</v>
      </c>
      <c r="C48" s="11">
        <f>'فرم ارتقاء رتبه'!F29</f>
        <v>0</v>
      </c>
      <c r="D48" s="1" t="s">
        <v>3</v>
      </c>
      <c r="G48" s="1">
        <f>IF(B48&lt;=C48,C48-B48,(C48+30)-B48)</f>
        <v>0</v>
      </c>
      <c r="H48" s="1" t="s">
        <v>6</v>
      </c>
      <c r="I48" s="2"/>
    </row>
    <row r="49" spans="1:9" ht="15">
      <c r="A49" s="122"/>
      <c r="B49" s="10">
        <f>'فرم ارتقاء رتبه'!E30</f>
        <v>0</v>
      </c>
      <c r="C49" s="11">
        <f>'فرم ارتقاء رتبه'!F30</f>
        <v>0</v>
      </c>
      <c r="D49" s="1" t="s">
        <v>4</v>
      </c>
      <c r="G49" s="1">
        <f>IF(B49&lt;=C53,C53-B49,(C53+12)-B49)</f>
        <v>0</v>
      </c>
      <c r="H49" s="1" t="s">
        <v>7</v>
      </c>
      <c r="I49" s="2"/>
    </row>
    <row r="50" spans="1:9" ht="15">
      <c r="A50" s="122"/>
      <c r="B50" s="10">
        <f>'فرم ارتقاء رتبه'!E31</f>
        <v>0</v>
      </c>
      <c r="C50" s="11">
        <f>'فرم ارتقاء رتبه'!F31</f>
        <v>0</v>
      </c>
      <c r="D50" s="1" t="s">
        <v>5</v>
      </c>
      <c r="G50" s="1">
        <f>IF(B50&lt;=C54,C54-B50)</f>
        <v>0</v>
      </c>
      <c r="H50" s="1" t="s">
        <v>8</v>
      </c>
      <c r="I50" s="2"/>
    </row>
    <row r="51" spans="1:9" ht="15">
      <c r="A51" s="122"/>
      <c r="I51" s="2"/>
    </row>
    <row r="52" spans="1:9" ht="15">
      <c r="A52" s="122"/>
      <c r="I52" s="2"/>
    </row>
    <row r="53" spans="1:9" ht="15">
      <c r="A53" s="122"/>
      <c r="C53" s="1">
        <f>IF(B48&gt;C48,C49-1,C49)</f>
        <v>0</v>
      </c>
      <c r="D53" s="119" t="s">
        <v>14</v>
      </c>
      <c r="I53" s="2"/>
    </row>
    <row r="54" spans="1:9" ht="15">
      <c r="A54" s="122"/>
      <c r="C54" s="1">
        <f>IF(B49&gt;C49,C50-1,C50)</f>
        <v>0</v>
      </c>
      <c r="D54" s="120"/>
      <c r="G54">
        <f>(((G50*365)+(G49*30)+G48)/365)*28</f>
        <v>0</v>
      </c>
      <c r="H54" t="s">
        <v>9</v>
      </c>
      <c r="I54" s="2"/>
    </row>
    <row r="55" spans="1:9" ht="15">
      <c r="A55" s="123"/>
      <c r="B55" s="3"/>
      <c r="C55" s="3"/>
      <c r="D55" s="3"/>
      <c r="E55" s="3"/>
      <c r="F55" s="3"/>
      <c r="G55" s="3"/>
      <c r="H55" s="3"/>
      <c r="I55" s="4"/>
    </row>
    <row r="57" spans="4:7" ht="15">
      <c r="D57" s="124">
        <f>G54+G44+G34+G24+G14</f>
        <v>335.4246575342466</v>
      </c>
      <c r="E57" s="124"/>
      <c r="F57" s="124"/>
      <c r="G57" s="9" t="s">
        <v>16</v>
      </c>
    </row>
  </sheetData>
  <sheetProtection password="CB42" sheet="1" objects="1" scenarios="1"/>
  <mergeCells count="11">
    <mergeCell ref="A37:A45"/>
    <mergeCell ref="D43:D44"/>
    <mergeCell ref="A47:A55"/>
    <mergeCell ref="D53:D54"/>
    <mergeCell ref="D57:F57"/>
    <mergeCell ref="D13:D14"/>
    <mergeCell ref="A7:A15"/>
    <mergeCell ref="A17:A25"/>
    <mergeCell ref="D23:D24"/>
    <mergeCell ref="A27:A35"/>
    <mergeCell ref="D33:D3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rightToLeft="1" zoomScalePageLayoutView="0" workbookViewId="0" topLeftCell="A1">
      <selection activeCell="K9" sqref="K9:K11"/>
    </sheetView>
  </sheetViews>
  <sheetFormatPr defaultColWidth="9.140625" defaultRowHeight="15"/>
  <cols>
    <col min="2" max="2" width="15.57421875" style="0" customWidth="1"/>
    <col min="3" max="3" width="9.140625" style="0" customWidth="1"/>
    <col min="8" max="8" width="15.7109375" style="0" customWidth="1"/>
  </cols>
  <sheetData>
    <row r="1" spans="3:15" ht="15">
      <c r="C1" t="s">
        <v>43</v>
      </c>
      <c r="D1" s="1" t="s">
        <v>39</v>
      </c>
      <c r="E1" s="1" t="s">
        <v>44</v>
      </c>
      <c r="F1" s="1" t="s">
        <v>41</v>
      </c>
      <c r="G1" s="1" t="s">
        <v>40</v>
      </c>
      <c r="L1" s="5"/>
      <c r="M1" s="5"/>
      <c r="N1" s="5"/>
      <c r="O1" s="5"/>
    </row>
    <row r="2" spans="1:7" ht="15">
      <c r="A2" s="1">
        <v>8</v>
      </c>
      <c r="B2" s="1" t="s">
        <v>36</v>
      </c>
      <c r="C2" s="16">
        <v>3</v>
      </c>
      <c r="D2" s="16">
        <v>6</v>
      </c>
      <c r="E2" s="16">
        <v>20</v>
      </c>
      <c r="F2" s="16">
        <v>2</v>
      </c>
      <c r="G2" s="1">
        <f>IF(F2=2,(((E2*365)+(D2*30)+C2)/365)*8*0.8,IF(F2=3,(((E2*365)+(D2*30)+C2)/365)*8*0.4,(((E2*365)+(D2*30)+C2)/365)*8))</f>
        <v>131.20876712328769</v>
      </c>
    </row>
    <row r="3" spans="1:7" ht="15">
      <c r="A3" s="1">
        <v>6</v>
      </c>
      <c r="B3" s="1" t="s">
        <v>36</v>
      </c>
      <c r="C3" s="16">
        <v>3</v>
      </c>
      <c r="D3" s="16">
        <v>6</v>
      </c>
      <c r="E3" s="16">
        <v>20</v>
      </c>
      <c r="F3" s="16"/>
      <c r="G3" s="1">
        <f>IF(F3=2,(((E3*365)+(D3*12)+C3)/365)*A3*0.8,IF(F3=3,(((E3*365)+(D3*12)+C3)/365)*A3*0.4,(((E3*365)+(D3*30)+C3)/365)*A3))</f>
        <v>123.0082191780822</v>
      </c>
    </row>
    <row r="4" spans="1:7" ht="15">
      <c r="A4" s="1">
        <v>4</v>
      </c>
      <c r="B4" s="1" t="s">
        <v>37</v>
      </c>
      <c r="C4" s="16"/>
      <c r="D4" s="16"/>
      <c r="E4" s="16"/>
      <c r="F4" s="16"/>
      <c r="G4" s="1">
        <f>IF(F2=2,(((E2*365)+(D2*12)+C2)/365)*4*0.8,IF(F2=3,(((E2*365)+(D2*12)+C2)/365)*4*0.4,(((E2*365)+(D2*12)+C2)/365)*4))</f>
        <v>64.65753424657535</v>
      </c>
    </row>
    <row r="5" spans="1:7" ht="15">
      <c r="A5" s="1">
        <v>2</v>
      </c>
      <c r="B5" s="1" t="s">
        <v>38</v>
      </c>
      <c r="C5" s="16"/>
      <c r="D5" s="16"/>
      <c r="E5" s="16"/>
      <c r="F5" s="16"/>
      <c r="G5" s="1">
        <f>IF(F5=2,(((E5*365)+(D5*12)+C5)/365)*A5*0.8,IF(F5=3,(((E5*365)+(D5*12)+C5)/365)*A5*0.4,(((E5*365)+(D5*12)+C5)/365)*A5))</f>
        <v>0</v>
      </c>
    </row>
    <row r="8" spans="4:11" ht="15">
      <c r="D8" s="7" t="s">
        <v>0</v>
      </c>
      <c r="E8" s="1" t="s">
        <v>1</v>
      </c>
      <c r="F8" s="1" t="s">
        <v>2</v>
      </c>
      <c r="K8" t="s">
        <v>40</v>
      </c>
    </row>
    <row r="9" spans="2:15" ht="15">
      <c r="B9" t="str">
        <f>'فرم ارتقاء رتبه'!C35</f>
        <v>مدیر</v>
      </c>
      <c r="C9">
        <f>IF(B9="مدیر",8,IF(B9="معاون مدیر",6,IF(B9="رئیس اداره و گروه",4,IF(B9="کارشناس مسئول",2,0))))</f>
        <v>8</v>
      </c>
      <c r="D9" s="10">
        <f>'فرم ارتقاء رتبه'!E35</f>
        <v>0</v>
      </c>
      <c r="E9" s="11">
        <f>'فرم ارتقاء رتبه'!F35</f>
        <v>0</v>
      </c>
      <c r="F9" s="1" t="s">
        <v>3</v>
      </c>
      <c r="G9" s="1">
        <f>IF(D9&gt;E9,E10-1,E10)</f>
        <v>0</v>
      </c>
      <c r="H9" s="126" t="s">
        <v>14</v>
      </c>
      <c r="I9" s="1">
        <f>IF(D9&lt;=E9,E9-D9,(E9+30)-D9)</f>
        <v>0</v>
      </c>
      <c r="J9" s="1" t="s">
        <v>6</v>
      </c>
      <c r="K9" s="125">
        <f>IF('فرم ارتقاء رتبه'!H35=2,(((I11*365)+(I10*30)+I9)/365)*C9*0.8,IF('فرم ارتقاء رتبه'!H35=3,(((I11*365)+(I10*30)+I9)/365)*C9*0.4,(((I11*365)+(I10*30)+I9)/365)*C9))</f>
        <v>0</v>
      </c>
      <c r="L9" s="23"/>
      <c r="M9" s="23"/>
      <c r="N9" s="23"/>
      <c r="O9" s="23"/>
    </row>
    <row r="10" spans="4:15" ht="15">
      <c r="D10" s="10">
        <f>'فرم ارتقاء رتبه'!E36</f>
        <v>0</v>
      </c>
      <c r="E10" s="11">
        <f>'فرم ارتقاء رتبه'!F36</f>
        <v>0</v>
      </c>
      <c r="F10" s="1" t="s">
        <v>4</v>
      </c>
      <c r="G10" s="1">
        <f>IF(D10&gt;E10,E11-1,E11)</f>
        <v>0</v>
      </c>
      <c r="H10" s="127"/>
      <c r="I10" s="1">
        <f>IF(D10&lt;=G9,G9-D10,(G9+12)-D10)</f>
        <v>0</v>
      </c>
      <c r="J10" s="1" t="s">
        <v>7</v>
      </c>
      <c r="K10" s="125"/>
      <c r="L10" s="23"/>
      <c r="M10" s="23"/>
      <c r="N10" s="23"/>
      <c r="O10" s="23"/>
    </row>
    <row r="11" spans="4:15" ht="15">
      <c r="D11" s="10">
        <f>'فرم ارتقاء رتبه'!E37</f>
        <v>0</v>
      </c>
      <c r="E11" s="11">
        <f>'فرم ارتقاء رتبه'!F37</f>
        <v>0</v>
      </c>
      <c r="F11" s="1" t="s">
        <v>5</v>
      </c>
      <c r="G11" s="23"/>
      <c r="H11" s="23"/>
      <c r="I11" s="1">
        <f>IF(D11&lt;=G10,G10-D11)</f>
        <v>0</v>
      </c>
      <c r="J11" s="1" t="s">
        <v>8</v>
      </c>
      <c r="K11" s="125"/>
      <c r="L11" s="23"/>
      <c r="M11" s="23"/>
      <c r="N11" s="23"/>
      <c r="O11" s="23"/>
    </row>
    <row r="12" spans="2:15" ht="15">
      <c r="B12">
        <f>'فرم ارتقاء رتبه'!C38</f>
        <v>0</v>
      </c>
      <c r="C12">
        <f>IF(B12="مدیر",8,IF(B12="معاون مدیر",6,IF(B12="رئیس اداره و گروه",4,IF(B12="کارشناس مسئول",2,0))))</f>
        <v>0</v>
      </c>
      <c r="D12" s="10">
        <f>'فرم ارتقاء رتبه'!E38</f>
        <v>0</v>
      </c>
      <c r="E12" s="11">
        <f>'فرم ارتقاء رتبه'!F38</f>
        <v>0</v>
      </c>
      <c r="F12" s="1" t="s">
        <v>3</v>
      </c>
      <c r="G12" s="1">
        <f>IF(D12&gt;E12,E13-1,E13)</f>
        <v>0</v>
      </c>
      <c r="H12" s="126" t="s">
        <v>14</v>
      </c>
      <c r="I12" s="1">
        <f>IF(D12&lt;=E12,E12-D12,(E12+30)-D12)</f>
        <v>0</v>
      </c>
      <c r="J12" s="1" t="s">
        <v>6</v>
      </c>
      <c r="K12" s="125">
        <f>IF('فرم ارتقاء رتبه'!H38=2,(((I14*365)+(I13*30)+I12)/365)*C12*0.8,IF('فرم ارتقاء رتبه'!H38=3,(((I14*365)+(I13*30)+I12)/365)*C12*0.4,(((I14*365)+(I13*30)+I12)/365)*C12))</f>
        <v>0</v>
      </c>
      <c r="L12" s="23"/>
      <c r="M12" s="23"/>
      <c r="N12" s="23"/>
      <c r="O12" s="23"/>
    </row>
    <row r="13" spans="4:15" ht="15">
      <c r="D13" s="10">
        <f>'فرم ارتقاء رتبه'!E39</f>
        <v>0</v>
      </c>
      <c r="E13" s="11">
        <f>'فرم ارتقاء رتبه'!F39</f>
        <v>0</v>
      </c>
      <c r="F13" s="1" t="s">
        <v>4</v>
      </c>
      <c r="G13" s="1">
        <f>IF(D13&gt;E13,E14-1,E14)</f>
        <v>0</v>
      </c>
      <c r="H13" s="127"/>
      <c r="I13" s="1">
        <f>IF(D13&lt;=G12,G12-D13,(G12+12)-D13)</f>
        <v>0</v>
      </c>
      <c r="J13" s="1" t="s">
        <v>7</v>
      </c>
      <c r="K13" s="125"/>
      <c r="L13" s="23"/>
      <c r="M13" s="23"/>
      <c r="N13" s="23"/>
      <c r="O13" s="23"/>
    </row>
    <row r="14" spans="4:15" ht="15">
      <c r="D14" s="10">
        <f>'فرم ارتقاء رتبه'!E40</f>
        <v>0</v>
      </c>
      <c r="E14" s="11">
        <f>'فرم ارتقاء رتبه'!F40</f>
        <v>0</v>
      </c>
      <c r="F14" s="1" t="s">
        <v>5</v>
      </c>
      <c r="G14" s="23"/>
      <c r="H14" s="23"/>
      <c r="I14" s="1">
        <f>IF(D14&lt;=G13,G13-D14)</f>
        <v>0</v>
      </c>
      <c r="J14" s="1" t="s">
        <v>8</v>
      </c>
      <c r="K14" s="125"/>
      <c r="L14" s="23"/>
      <c r="M14" s="23"/>
      <c r="N14" s="23"/>
      <c r="O14" s="23"/>
    </row>
    <row r="15" spans="2:15" ht="15">
      <c r="B15">
        <f>'فرم ارتقاء رتبه'!C41</f>
        <v>0</v>
      </c>
      <c r="C15">
        <f>IF(B15="مدیر",8,IF(B15="معاون مدیر",6,IF(B15="رئیس اداره و گروه",4,IF(B15="کارشناس مسئول",2,0))))</f>
        <v>0</v>
      </c>
      <c r="D15" s="10">
        <f>'فرم ارتقاء رتبه'!E41</f>
        <v>0</v>
      </c>
      <c r="E15" s="11">
        <f>'فرم ارتقاء رتبه'!F41</f>
        <v>0</v>
      </c>
      <c r="F15" s="1" t="s">
        <v>3</v>
      </c>
      <c r="G15" s="1">
        <f>IF(D15&gt;E15,E16-1,E16)</f>
        <v>0</v>
      </c>
      <c r="H15" s="126" t="s">
        <v>14</v>
      </c>
      <c r="I15" s="1">
        <f>IF(D15&lt;=E15,E15-D15,(E15+30)-D15)</f>
        <v>0</v>
      </c>
      <c r="J15" s="1" t="s">
        <v>6</v>
      </c>
      <c r="K15" s="125">
        <f>IF('فرم ارتقاء رتبه'!H41=2,(((I17*365)+(I16*30)+I15)/365)*C15*0.8,IF('فرم ارتقاء رتبه'!H41=3,(((I17*365)+(I16*30)+I15)/365)*C15*0.4,(((I17*365)+(I16*30)+I15)/365)*C15))</f>
        <v>0</v>
      </c>
      <c r="L15" s="23"/>
      <c r="M15" s="23"/>
      <c r="N15" s="23"/>
      <c r="O15" s="23"/>
    </row>
    <row r="16" spans="4:15" ht="15">
      <c r="D16" s="10">
        <f>'فرم ارتقاء رتبه'!E42</f>
        <v>0</v>
      </c>
      <c r="E16" s="11">
        <f>'فرم ارتقاء رتبه'!F42</f>
        <v>0</v>
      </c>
      <c r="F16" s="1" t="s">
        <v>4</v>
      </c>
      <c r="G16" s="1">
        <f>IF(D16&gt;E16,E17-1,E17)</f>
        <v>0</v>
      </c>
      <c r="H16" s="127"/>
      <c r="I16" s="1">
        <f>IF(D16&lt;=G15,G15-D16,(G15+12)-D16)</f>
        <v>0</v>
      </c>
      <c r="J16" s="1" t="s">
        <v>7</v>
      </c>
      <c r="K16" s="125"/>
      <c r="L16" s="23"/>
      <c r="M16" s="23"/>
      <c r="N16" s="23"/>
      <c r="O16" s="23"/>
    </row>
    <row r="17" spans="4:15" ht="15">
      <c r="D17" s="10">
        <f>'فرم ارتقاء رتبه'!E43</f>
        <v>0</v>
      </c>
      <c r="E17" s="11">
        <f>'فرم ارتقاء رتبه'!F43</f>
        <v>0</v>
      </c>
      <c r="F17" s="1" t="s">
        <v>5</v>
      </c>
      <c r="G17" s="23"/>
      <c r="H17" s="23"/>
      <c r="I17" s="1">
        <f>IF(D17&lt;=G16,G16-D17)</f>
        <v>0</v>
      </c>
      <c r="J17" s="1" t="s">
        <v>8</v>
      </c>
      <c r="K17" s="125"/>
      <c r="L17" s="23"/>
      <c r="M17" s="23"/>
      <c r="N17" s="23"/>
      <c r="O17" s="23"/>
    </row>
    <row r="18" spans="2:15" ht="15">
      <c r="B18">
        <f>'فرم ارتقاء رتبه'!C44</f>
        <v>0</v>
      </c>
      <c r="C18">
        <f>IF(B18="مدیر",8,IF(B18="معاون مدیر",6,IF(B18="رئیس اداره و گروه",4,IF(B18="کارشناس مسئول",2,0))))</f>
        <v>0</v>
      </c>
      <c r="D18" s="10">
        <f>'فرم ارتقاء رتبه'!E44</f>
        <v>0</v>
      </c>
      <c r="E18" s="11">
        <f>'فرم ارتقاء رتبه'!F44</f>
        <v>0</v>
      </c>
      <c r="F18" s="1" t="s">
        <v>3</v>
      </c>
      <c r="G18" s="1">
        <f>IF(D18&gt;E18,E19-1,E19)</f>
        <v>0</v>
      </c>
      <c r="H18" s="126" t="s">
        <v>14</v>
      </c>
      <c r="I18" s="1">
        <f>IF(D18&lt;=E18,E18-D18,(E18+30)-D18)</f>
        <v>0</v>
      </c>
      <c r="J18" s="1" t="s">
        <v>6</v>
      </c>
      <c r="K18" s="125">
        <f>IF('فرم ارتقاء رتبه'!H44=2,(((I20*365)+(I19*30)+I18)/365)*C18*0.8,IF('فرم ارتقاء رتبه'!H44=3,(((I20*365)+(I19*30)+I18)/365)*C18*0.4,(((I20*365)+(I19*30)+I18)/365)*C18))</f>
        <v>0</v>
      </c>
      <c r="L18" s="23"/>
      <c r="M18" s="23"/>
      <c r="N18" s="23"/>
      <c r="O18" s="23"/>
    </row>
    <row r="19" spans="4:11" ht="15">
      <c r="D19" s="10">
        <f>'فرم ارتقاء رتبه'!E45</f>
        <v>0</v>
      </c>
      <c r="E19" s="11">
        <f>'فرم ارتقاء رتبه'!F45</f>
        <v>0</v>
      </c>
      <c r="F19" s="1" t="s">
        <v>4</v>
      </c>
      <c r="G19" s="1">
        <f>IF(D19&gt;E19,E20-1,E20)</f>
        <v>0</v>
      </c>
      <c r="H19" s="127"/>
      <c r="I19" s="1">
        <f>IF(D19&lt;=G18,G18-D19,(G18+12)-D19)</f>
        <v>0</v>
      </c>
      <c r="J19" s="1" t="s">
        <v>7</v>
      </c>
      <c r="K19" s="125"/>
    </row>
    <row r="20" spans="4:11" ht="15">
      <c r="D20" s="10">
        <f>'فرم ارتقاء رتبه'!E46</f>
        <v>0</v>
      </c>
      <c r="E20" s="11">
        <f>'فرم ارتقاء رتبه'!F46</f>
        <v>0</v>
      </c>
      <c r="F20" s="1" t="s">
        <v>5</v>
      </c>
      <c r="G20" s="23"/>
      <c r="H20" s="23"/>
      <c r="I20" s="1">
        <f>IF(D20&lt;=G19,G19-D20)</f>
        <v>0</v>
      </c>
      <c r="J20" s="1" t="s">
        <v>8</v>
      </c>
      <c r="K20" s="125"/>
    </row>
    <row r="21" spans="2:11" ht="15">
      <c r="B21">
        <f>'فرم ارتقاء رتبه'!C47</f>
        <v>0</v>
      </c>
      <c r="C21">
        <f>IF(B21="مدیر",8,IF(B21="معاون مدیر",6,IF(B21="رئیس اداره و گروه",4,IF(B21="کارشناس مسئول",2,0))))</f>
        <v>0</v>
      </c>
      <c r="D21" s="10">
        <f>'فرم ارتقاء رتبه'!E47</f>
        <v>0</v>
      </c>
      <c r="E21" s="11">
        <f>'فرم ارتقاء رتبه'!F47</f>
        <v>0</v>
      </c>
      <c r="F21" s="1" t="s">
        <v>3</v>
      </c>
      <c r="G21" s="1">
        <f>IF(D21&gt;E21,E22-1,E22)</f>
        <v>0</v>
      </c>
      <c r="H21" s="126" t="s">
        <v>14</v>
      </c>
      <c r="I21" s="1">
        <f>IF(D21&lt;=E21,E21-D21,(E21+30)-D21)</f>
        <v>0</v>
      </c>
      <c r="J21" s="1" t="s">
        <v>6</v>
      </c>
      <c r="K21" s="125">
        <f>IF('فرم ارتقاء رتبه'!H47=2,(((I23*365)+(I22*30)+I21)/365)*C21*0.8,IF('فرم ارتقاء رتبه'!H47=3,(((I23*365)+(I22*30)+I21)/365)*C21*0.4,(((I23*365)+(I22*30)+I21)/365)*C21))</f>
        <v>0</v>
      </c>
    </row>
    <row r="22" spans="4:11" ht="15">
      <c r="D22" s="10">
        <f>'فرم ارتقاء رتبه'!E48</f>
        <v>0</v>
      </c>
      <c r="E22" s="11">
        <f>'فرم ارتقاء رتبه'!F48</f>
        <v>0</v>
      </c>
      <c r="F22" s="1" t="s">
        <v>4</v>
      </c>
      <c r="G22" s="1">
        <f>IF(D22&gt;E22,E23-1,E23)</f>
        <v>0</v>
      </c>
      <c r="H22" s="127"/>
      <c r="I22" s="1">
        <f>IF(D22&lt;=G21,G21-D22,(G21+12)-D22)</f>
        <v>0</v>
      </c>
      <c r="J22" s="1" t="s">
        <v>7</v>
      </c>
      <c r="K22" s="125"/>
    </row>
    <row r="23" spans="4:11" ht="15">
      <c r="D23" s="10">
        <f>'فرم ارتقاء رتبه'!E49</f>
        <v>0</v>
      </c>
      <c r="E23" s="11">
        <f>'فرم ارتقاء رتبه'!F49</f>
        <v>0</v>
      </c>
      <c r="F23" s="1" t="s">
        <v>5</v>
      </c>
      <c r="G23" s="23"/>
      <c r="H23" s="23"/>
      <c r="I23" s="1">
        <f>IF(D23&lt;=G22,G22-D23)</f>
        <v>0</v>
      </c>
      <c r="J23" s="1" t="s">
        <v>8</v>
      </c>
      <c r="K23" s="125"/>
    </row>
    <row r="24" spans="2:11" ht="15">
      <c r="B24">
        <f>'فرم ارتقاء رتبه'!C50</f>
        <v>0</v>
      </c>
      <c r="C24">
        <f>IF(B24="مدیر",8,IF(B24="معاون مدیر",6,IF(B24="رئیس اداره و گروه",4,IF(B24="کارشناس مسئول",2,0))))</f>
        <v>0</v>
      </c>
      <c r="D24" s="10">
        <f>'فرم ارتقاء رتبه'!E50</f>
        <v>0</v>
      </c>
      <c r="E24" s="11">
        <f>'فرم ارتقاء رتبه'!F50</f>
        <v>0</v>
      </c>
      <c r="F24" s="1" t="s">
        <v>3</v>
      </c>
      <c r="G24" s="1">
        <f>IF(D24&gt;E24,E25-1,E25)</f>
        <v>0</v>
      </c>
      <c r="H24" s="126" t="s">
        <v>14</v>
      </c>
      <c r="I24" s="1">
        <f>IF(D24&lt;=E24,E24-D24,(E24+30)-D24)</f>
        <v>0</v>
      </c>
      <c r="J24" s="1" t="s">
        <v>6</v>
      </c>
      <c r="K24" s="125">
        <f>IF('فرم ارتقاء رتبه'!H50=2,(((I26*365)+(I25*30)+I24)/365)*C24*0.8,IF('فرم ارتقاء رتبه'!H50=3,(((I26*365)+(I25*30)+I24)/365)*C24*0.4,(((I26*365)+(I25*30)+I24)/365)*C24))</f>
        <v>0</v>
      </c>
    </row>
    <row r="25" spans="4:11" ht="15">
      <c r="D25" s="10">
        <f>'فرم ارتقاء رتبه'!E51</f>
        <v>0</v>
      </c>
      <c r="E25" s="11">
        <f>'فرم ارتقاء رتبه'!F51</f>
        <v>0</v>
      </c>
      <c r="F25" s="1" t="s">
        <v>4</v>
      </c>
      <c r="G25" s="1">
        <f>IF(D25&gt;E25,E26-1,E26)</f>
        <v>0</v>
      </c>
      <c r="H25" s="127"/>
      <c r="I25" s="1">
        <f>IF(D25&lt;=G24,G24-D25,(G24+12)-D25)</f>
        <v>0</v>
      </c>
      <c r="J25" s="1" t="s">
        <v>7</v>
      </c>
      <c r="K25" s="125"/>
    </row>
    <row r="26" spans="4:11" ht="15">
      <c r="D26" s="10">
        <f>'فرم ارتقاء رتبه'!E52</f>
        <v>0</v>
      </c>
      <c r="E26" s="11">
        <f>'فرم ارتقاء رتبه'!F52</f>
        <v>0</v>
      </c>
      <c r="F26" s="1" t="s">
        <v>5</v>
      </c>
      <c r="G26" s="23"/>
      <c r="H26" s="23"/>
      <c r="I26" s="1">
        <f>IF(D26&lt;=G25,G25-D26)</f>
        <v>0</v>
      </c>
      <c r="J26" s="1" t="s">
        <v>8</v>
      </c>
      <c r="K26" s="125"/>
    </row>
    <row r="27" spans="2:11" ht="15">
      <c r="B27">
        <f>'فرم ارتقاء رتبه'!C53</f>
        <v>0</v>
      </c>
      <c r="C27">
        <f>IF(B27="مدیر",8,IF(B27="معاون مدیر",6,IF(B27="رئیس اداره و گروه",4,IF(B27="کارشناس مسئول",2,0))))</f>
        <v>0</v>
      </c>
      <c r="D27" s="10">
        <f>'فرم ارتقاء رتبه'!E53</f>
        <v>0</v>
      </c>
      <c r="E27" s="11">
        <f>'فرم ارتقاء رتبه'!F53</f>
        <v>0</v>
      </c>
      <c r="F27" s="1" t="s">
        <v>3</v>
      </c>
      <c r="G27" s="1">
        <f>IF(D27&gt;E27,E28-1,E28)</f>
        <v>0</v>
      </c>
      <c r="H27" s="126" t="s">
        <v>14</v>
      </c>
      <c r="I27" s="1">
        <f>IF(D27&lt;=E27,E27-D27,(E27+30)-D27)</f>
        <v>0</v>
      </c>
      <c r="J27" s="1" t="s">
        <v>6</v>
      </c>
      <c r="K27" s="125">
        <f>IF('فرم ارتقاء رتبه'!H53=2,(((I29*365)+(I28*30)+I27)/365)*C27*0.8,IF('فرم ارتقاء رتبه'!H53=3,(((I29*365)+(I28*30)+I27)/365)*C27*0.4,(((I29*365)+(I28*30)+I27)/365)*C27))</f>
        <v>0</v>
      </c>
    </row>
    <row r="28" spans="4:11" ht="15">
      <c r="D28" s="10">
        <f>'فرم ارتقاء رتبه'!E54</f>
        <v>0</v>
      </c>
      <c r="E28" s="11">
        <f>'فرم ارتقاء رتبه'!F54</f>
        <v>0</v>
      </c>
      <c r="F28" s="1" t="s">
        <v>4</v>
      </c>
      <c r="G28" s="1">
        <f>IF(D28&gt;E28,E29-1,E29)</f>
        <v>0</v>
      </c>
      <c r="H28" s="127"/>
      <c r="I28" s="1">
        <f>IF(D28&lt;=G27,G27-D28,(G27+12)-D28)</f>
        <v>0</v>
      </c>
      <c r="J28" s="1" t="s">
        <v>7</v>
      </c>
      <c r="K28" s="125"/>
    </row>
    <row r="29" spans="4:11" ht="15">
      <c r="D29" s="10">
        <f>'فرم ارتقاء رتبه'!E55</f>
        <v>0</v>
      </c>
      <c r="E29" s="11">
        <f>'فرم ارتقاء رتبه'!F55</f>
        <v>0</v>
      </c>
      <c r="F29" s="1" t="s">
        <v>5</v>
      </c>
      <c r="G29" s="23"/>
      <c r="H29" s="23"/>
      <c r="I29" s="1">
        <f>IF(D29&lt;=G28,G28-D29)</f>
        <v>0</v>
      </c>
      <c r="J29" s="1" t="s">
        <v>8</v>
      </c>
      <c r="K29" s="125"/>
    </row>
    <row r="30" spans="2:11" ht="15">
      <c r="B30">
        <f>'فرم ارتقاء رتبه'!C56</f>
        <v>0</v>
      </c>
      <c r="C30">
        <f>IF(B30="مدیر",8,IF(B30="معاون مدیر",6,IF(B30="رئیس اداره و گروه",4,IF(B30="کارشناس مسئول",2,0))))</f>
        <v>0</v>
      </c>
      <c r="D30" s="10">
        <f>'فرم ارتقاء رتبه'!E56</f>
        <v>0</v>
      </c>
      <c r="E30" s="11">
        <f>'فرم ارتقاء رتبه'!F56</f>
        <v>0</v>
      </c>
      <c r="F30" s="1" t="s">
        <v>3</v>
      </c>
      <c r="G30" s="1">
        <f>IF(D30&gt;E30,E31-1,E31)</f>
        <v>0</v>
      </c>
      <c r="H30" s="126" t="s">
        <v>14</v>
      </c>
      <c r="I30" s="1">
        <f>IF(D30&lt;=E30,E30-D30,(E30+30)-D30)</f>
        <v>0</v>
      </c>
      <c r="J30" s="1" t="s">
        <v>6</v>
      </c>
      <c r="K30" s="125">
        <f>IF('فرم ارتقاء رتبه'!H56=2,(((I32*365)+(I31*30)+I30)/365)*C30*0.8,IF('فرم ارتقاء رتبه'!H56=3,(((I32*365)+(I31*30)+I30)/365)*C30*0.4,(((I32*365)+(I31*30)+I30)/365)*C30))</f>
        <v>0</v>
      </c>
    </row>
    <row r="31" spans="4:11" ht="15">
      <c r="D31" s="10">
        <f>'فرم ارتقاء رتبه'!E57</f>
        <v>0</v>
      </c>
      <c r="E31" s="11">
        <f>'فرم ارتقاء رتبه'!F57</f>
        <v>0</v>
      </c>
      <c r="F31" s="1" t="s">
        <v>4</v>
      </c>
      <c r="G31" s="1">
        <f>IF(D31&gt;E31,E32-1,E32)</f>
        <v>0</v>
      </c>
      <c r="H31" s="127"/>
      <c r="I31" s="1">
        <f>IF(D31&lt;=G30,G30-D31,(G30+12)-D31)</f>
        <v>0</v>
      </c>
      <c r="J31" s="1" t="s">
        <v>7</v>
      </c>
      <c r="K31" s="125"/>
    </row>
    <row r="32" spans="4:11" ht="15">
      <c r="D32" s="10">
        <f>'فرم ارتقاء رتبه'!E58</f>
        <v>0</v>
      </c>
      <c r="E32" s="11">
        <f>'فرم ارتقاء رتبه'!F58</f>
        <v>0</v>
      </c>
      <c r="F32" s="1" t="s">
        <v>5</v>
      </c>
      <c r="G32" s="23"/>
      <c r="H32" s="23"/>
      <c r="I32" s="1">
        <f>IF(D32&lt;=G31,G31-D32)</f>
        <v>0</v>
      </c>
      <c r="J32" s="1" t="s">
        <v>8</v>
      </c>
      <c r="K32" s="125"/>
    </row>
    <row r="33" spans="2:11" ht="15">
      <c r="B33">
        <f>'فرم ارتقاء رتبه'!C59</f>
        <v>0</v>
      </c>
      <c r="C33">
        <f>IF(B33="مدیر",8,IF(B33="معاون مدیر",6,IF(B33="رئیس اداره و گروه",4,IF(B33="کارشناس مسئول",2,0))))</f>
        <v>0</v>
      </c>
      <c r="D33" s="10">
        <f>'فرم ارتقاء رتبه'!E59</f>
        <v>0</v>
      </c>
      <c r="E33" s="11">
        <f>'فرم ارتقاء رتبه'!F59</f>
        <v>0</v>
      </c>
      <c r="F33" s="1" t="s">
        <v>3</v>
      </c>
      <c r="G33" s="1">
        <f>IF(D33&gt;E33,E34-1,E34)</f>
        <v>0</v>
      </c>
      <c r="H33" s="126" t="s">
        <v>14</v>
      </c>
      <c r="I33" s="1">
        <f>IF(D33&lt;=E33,E33-D33,(E33+30)-D33)</f>
        <v>0</v>
      </c>
      <c r="J33" s="1" t="s">
        <v>6</v>
      </c>
      <c r="K33" s="125">
        <f>IF('فرم ارتقاء رتبه'!H59=2,(((I35*365)+(I34*30)+I33)/365)*C33*0.8,IF('فرم ارتقاء رتبه'!H59=3,(((I35*365)+(I34*30)+I33)/365)*C33*0.4,(((I35*365)+(I34*30)+I33)/365)*C33))</f>
        <v>0</v>
      </c>
    </row>
    <row r="34" spans="4:11" ht="15">
      <c r="D34" s="10">
        <f>'فرم ارتقاء رتبه'!E60</f>
        <v>0</v>
      </c>
      <c r="E34" s="11">
        <f>'فرم ارتقاء رتبه'!F60</f>
        <v>0</v>
      </c>
      <c r="F34" s="1" t="s">
        <v>4</v>
      </c>
      <c r="G34" s="1">
        <f>IF(D34&gt;E34,E35-1,E35)</f>
        <v>0</v>
      </c>
      <c r="H34" s="127"/>
      <c r="I34" s="1">
        <f>IF(D34&lt;=G33,G33-D34,(G33+12)-D34)</f>
        <v>0</v>
      </c>
      <c r="J34" s="1" t="s">
        <v>7</v>
      </c>
      <c r="K34" s="125"/>
    </row>
    <row r="35" spans="4:11" ht="15">
      <c r="D35" s="10">
        <f>'فرم ارتقاء رتبه'!E61</f>
        <v>0</v>
      </c>
      <c r="E35" s="11">
        <f>'فرم ارتقاء رتبه'!F61</f>
        <v>0</v>
      </c>
      <c r="F35" s="1" t="s">
        <v>5</v>
      </c>
      <c r="G35" s="23"/>
      <c r="H35" s="23"/>
      <c r="I35" s="1">
        <f>IF(D35&lt;=G34,G34-D35)</f>
        <v>0</v>
      </c>
      <c r="J35" s="1" t="s">
        <v>8</v>
      </c>
      <c r="K35" s="125"/>
    </row>
    <row r="38" ht="15">
      <c r="I38">
        <f>SUM(K9:K35)</f>
        <v>0</v>
      </c>
    </row>
  </sheetData>
  <sheetProtection password="CB42" sheet="1" objects="1" scenarios="1"/>
  <mergeCells count="18">
    <mergeCell ref="H30:H31"/>
    <mergeCell ref="H33:H34"/>
    <mergeCell ref="K24:K26"/>
    <mergeCell ref="K27:K29"/>
    <mergeCell ref="K30:K32"/>
    <mergeCell ref="K33:K35"/>
    <mergeCell ref="K21:K23"/>
    <mergeCell ref="H21:H22"/>
    <mergeCell ref="H24:H25"/>
    <mergeCell ref="H27:H28"/>
    <mergeCell ref="H9:H10"/>
    <mergeCell ref="H12:H13"/>
    <mergeCell ref="H15:H16"/>
    <mergeCell ref="H18:H19"/>
    <mergeCell ref="K9:K11"/>
    <mergeCell ref="K12:K14"/>
    <mergeCell ref="K15:K17"/>
    <mergeCell ref="K18:K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Q45"/>
  <sheetViews>
    <sheetView rightToLeft="1" zoomScalePageLayoutView="0" workbookViewId="0" topLeftCell="A1">
      <selection activeCell="L18" sqref="L18"/>
    </sheetView>
  </sheetViews>
  <sheetFormatPr defaultColWidth="9.140625" defaultRowHeight="15"/>
  <cols>
    <col min="12" max="12" width="23.28125" style="0" customWidth="1"/>
  </cols>
  <sheetData>
    <row r="3" spans="1:17" ht="15">
      <c r="A3" s="25"/>
      <c r="B3" s="7" t="s">
        <v>0</v>
      </c>
      <c r="C3" s="1" t="s">
        <v>1</v>
      </c>
      <c r="D3" s="1" t="s">
        <v>2</v>
      </c>
      <c r="E3" s="5"/>
      <c r="F3" s="5"/>
      <c r="G3" s="5"/>
      <c r="H3" s="5"/>
      <c r="I3" s="6"/>
      <c r="L3" s="1" t="s">
        <v>42</v>
      </c>
      <c r="M3" s="1" t="s">
        <v>43</v>
      </c>
      <c r="N3" s="1" t="s">
        <v>39</v>
      </c>
      <c r="O3" s="1" t="s">
        <v>44</v>
      </c>
      <c r="P3" s="1" t="s">
        <v>45</v>
      </c>
      <c r="Q3" s="1" t="s">
        <v>40</v>
      </c>
    </row>
    <row r="4" spans="1:17" ht="15">
      <c r="A4" s="122" t="str">
        <f>'فرم ارتقاء رتبه'!H65</f>
        <v>حقیقی</v>
      </c>
      <c r="B4" s="10">
        <f>'فرم ارتقاء رتبه'!E65</f>
        <v>0</v>
      </c>
      <c r="C4" s="11">
        <f>'فرم ارتقاء رتبه'!F65</f>
        <v>0</v>
      </c>
      <c r="D4" s="1" t="s">
        <v>3</v>
      </c>
      <c r="E4" s="1">
        <f>IF(B4&gt;C4,C5-1,C5)</f>
        <v>0</v>
      </c>
      <c r="F4" s="119" t="s">
        <v>14</v>
      </c>
      <c r="G4" s="1">
        <f>IF(B4&lt;=C4,C4-B4,(C4+30)-B4)</f>
        <v>0</v>
      </c>
      <c r="H4" s="1" t="s">
        <v>6</v>
      </c>
      <c r="I4" s="128">
        <f>IF(A4="حقیقی",(((G6*365)+(G5*30)+G4)/365)*2,(((G6*365)+(G5*30)+G4)/365)*1)</f>
        <v>0</v>
      </c>
      <c r="L4" s="16"/>
      <c r="M4" s="16">
        <v>23</v>
      </c>
      <c r="N4" s="16">
        <v>9</v>
      </c>
      <c r="O4" s="16">
        <v>0</v>
      </c>
      <c r="P4" s="16" t="s">
        <v>46</v>
      </c>
      <c r="Q4" s="1"/>
    </row>
    <row r="5" spans="1:17" ht="15">
      <c r="A5" s="122"/>
      <c r="B5" s="10">
        <f>'فرم ارتقاء رتبه'!E66</f>
        <v>0</v>
      </c>
      <c r="C5" s="11">
        <f>'فرم ارتقاء رتبه'!F66</f>
        <v>0</v>
      </c>
      <c r="D5" s="1" t="s">
        <v>4</v>
      </c>
      <c r="E5" s="1">
        <f>IF(B5&gt;C5,C6-1,C6)</f>
        <v>0</v>
      </c>
      <c r="F5" s="120"/>
      <c r="G5" s="1">
        <f>IF(B5&lt;=E4,E4-B5,(E4+12)-B5)</f>
        <v>0</v>
      </c>
      <c r="H5" s="1" t="s">
        <v>7</v>
      </c>
      <c r="I5" s="128"/>
      <c r="L5" s="16"/>
      <c r="M5" s="16">
        <v>0</v>
      </c>
      <c r="N5" s="16">
        <v>1</v>
      </c>
      <c r="O5" s="16">
        <v>1</v>
      </c>
      <c r="P5" s="16" t="s">
        <v>46</v>
      </c>
      <c r="Q5" s="1">
        <f>IF(P5="حقیقی",(((O5*365)+(N5*30)+M5)/365)*2,(((O5*365)+(N5*30)+M5)/365)*1)</f>
        <v>2.164383561643836</v>
      </c>
    </row>
    <row r="6" spans="1:17" ht="15">
      <c r="A6" s="122"/>
      <c r="B6" s="10">
        <f>'فرم ارتقاء رتبه'!E67</f>
        <v>0</v>
      </c>
      <c r="C6" s="11">
        <f>'فرم ارتقاء رتبه'!F67</f>
        <v>0</v>
      </c>
      <c r="D6" s="1" t="s">
        <v>5</v>
      </c>
      <c r="G6" s="1">
        <f>IF(B6&lt;=E5,E5-B6)</f>
        <v>0</v>
      </c>
      <c r="H6" s="1" t="s">
        <v>8</v>
      </c>
      <c r="I6" s="128"/>
      <c r="L6" s="16"/>
      <c r="M6" s="16">
        <v>27</v>
      </c>
      <c r="N6" s="16">
        <v>0</v>
      </c>
      <c r="O6" s="16">
        <v>1</v>
      </c>
      <c r="P6" s="16"/>
      <c r="Q6" s="1">
        <f aca="true" t="shared" si="0" ref="Q6:Q15">IF(P6="حقیقی",(((O6*365)+(N6*30)+M6)/365)*2,(((O6*365)+(N6*30)+M6)/365)*1)</f>
        <v>1.073972602739726</v>
      </c>
    </row>
    <row r="7" spans="1:17" ht="15">
      <c r="A7" s="122">
        <f>'فرم ارتقاء رتبه'!H68</f>
        <v>0</v>
      </c>
      <c r="B7" s="10">
        <f>'فرم ارتقاء رتبه'!E68</f>
        <v>0</v>
      </c>
      <c r="C7" s="11">
        <f>'فرم ارتقاء رتبه'!F68</f>
        <v>0</v>
      </c>
      <c r="D7" s="1" t="s">
        <v>3</v>
      </c>
      <c r="E7" s="1">
        <f>IF(B7&gt;C7,C8-1,C8)</f>
        <v>0</v>
      </c>
      <c r="F7" s="119" t="s">
        <v>14</v>
      </c>
      <c r="G7" s="1">
        <f>IF(B7&lt;=C7,C7-B7,(C7+30)-B7)</f>
        <v>0</v>
      </c>
      <c r="H7" s="1" t="s">
        <v>6</v>
      </c>
      <c r="I7" s="128">
        <f>IF(A7="حقیقی",(((G9*365)+(G8*30)+G7)/365)*2,(((G9*365)+(G8*30)+G7)/365)*1)</f>
        <v>0</v>
      </c>
      <c r="L7" s="16"/>
      <c r="M7" s="16">
        <v>0</v>
      </c>
      <c r="N7" s="16">
        <v>5</v>
      </c>
      <c r="O7" s="16">
        <v>11</v>
      </c>
      <c r="P7" s="16" t="s">
        <v>46</v>
      </c>
      <c r="Q7" s="1">
        <f t="shared" si="0"/>
        <v>22.82191780821918</v>
      </c>
    </row>
    <row r="8" spans="1:17" ht="15">
      <c r="A8" s="122"/>
      <c r="B8" s="10">
        <f>'فرم ارتقاء رتبه'!E69</f>
        <v>0</v>
      </c>
      <c r="C8" s="11">
        <f>'فرم ارتقاء رتبه'!F69</f>
        <v>0</v>
      </c>
      <c r="D8" s="1" t="s">
        <v>4</v>
      </c>
      <c r="E8" s="1">
        <f>IF(B8&gt;C8,C9-1,C9)</f>
        <v>0</v>
      </c>
      <c r="F8" s="120"/>
      <c r="G8" s="1">
        <f>IF(B8&lt;=E7,E7-B8,(E7+12)-B8)</f>
        <v>0</v>
      </c>
      <c r="H8" s="1" t="s">
        <v>7</v>
      </c>
      <c r="I8" s="128"/>
      <c r="L8" s="16"/>
      <c r="M8" s="16"/>
      <c r="N8" s="16"/>
      <c r="O8" s="16"/>
      <c r="P8" s="16"/>
      <c r="Q8" s="1">
        <f t="shared" si="0"/>
        <v>0</v>
      </c>
    </row>
    <row r="9" spans="1:17" ht="15">
      <c r="A9" s="122"/>
      <c r="B9" s="10">
        <f>'فرم ارتقاء رتبه'!E70</f>
        <v>0</v>
      </c>
      <c r="C9" s="11">
        <f>'فرم ارتقاء رتبه'!F70</f>
        <v>0</v>
      </c>
      <c r="D9" s="1" t="s">
        <v>5</v>
      </c>
      <c r="G9" s="1">
        <f>IF(B9&lt;=E8,E8-B9)</f>
        <v>0</v>
      </c>
      <c r="H9" s="1" t="s">
        <v>8</v>
      </c>
      <c r="I9" s="128"/>
      <c r="L9" s="16"/>
      <c r="M9" s="16"/>
      <c r="N9" s="16"/>
      <c r="O9" s="16"/>
      <c r="P9" s="16"/>
      <c r="Q9" s="1">
        <f t="shared" si="0"/>
        <v>0</v>
      </c>
    </row>
    <row r="10" spans="1:17" ht="15">
      <c r="A10" s="122">
        <f>'فرم ارتقاء رتبه'!H71</f>
        <v>0</v>
      </c>
      <c r="B10" s="10">
        <f>'فرم ارتقاء رتبه'!E71</f>
        <v>0</v>
      </c>
      <c r="C10" s="11">
        <f>'فرم ارتقاء رتبه'!F71</f>
        <v>0</v>
      </c>
      <c r="D10" s="1" t="s">
        <v>3</v>
      </c>
      <c r="E10" s="1">
        <f>IF(B10&gt;C10,C11-1,C11)</f>
        <v>0</v>
      </c>
      <c r="F10" s="119" t="s">
        <v>14</v>
      </c>
      <c r="G10" s="1">
        <f>IF(B10&lt;=C10,C10-B10,(C10+30)-B10)</f>
        <v>0</v>
      </c>
      <c r="H10" s="1" t="s">
        <v>6</v>
      </c>
      <c r="I10" s="128">
        <f>IF(A10="حقیقی",(((G12*365)+(G11*30)+G10)/365)*2,(((G12*365)+(G11*30)+G10)/365)*1)</f>
        <v>0</v>
      </c>
      <c r="L10" s="16"/>
      <c r="M10" s="16"/>
      <c r="N10" s="16"/>
      <c r="O10" s="16"/>
      <c r="P10" s="16"/>
      <c r="Q10" s="1">
        <f t="shared" si="0"/>
        <v>0</v>
      </c>
    </row>
    <row r="11" spans="1:17" ht="15">
      <c r="A11" s="122"/>
      <c r="B11" s="10">
        <f>'فرم ارتقاء رتبه'!E72</f>
        <v>0</v>
      </c>
      <c r="C11" s="11">
        <f>'فرم ارتقاء رتبه'!F72</f>
        <v>0</v>
      </c>
      <c r="D11" s="1" t="s">
        <v>4</v>
      </c>
      <c r="E11" s="1">
        <f>IF(B11&gt;C11,C12-1,C12)</f>
        <v>0</v>
      </c>
      <c r="F11" s="120"/>
      <c r="G11" s="1">
        <f>IF(B11&lt;=E10,E10-B11,(E10+12)-B11)</f>
        <v>0</v>
      </c>
      <c r="H11" s="1" t="s">
        <v>7</v>
      </c>
      <c r="I11" s="128"/>
      <c r="L11" s="16"/>
      <c r="M11" s="16"/>
      <c r="N11" s="16"/>
      <c r="O11" s="16"/>
      <c r="P11" s="16"/>
      <c r="Q11" s="1">
        <f t="shared" si="0"/>
        <v>0</v>
      </c>
    </row>
    <row r="12" spans="1:17" ht="15">
      <c r="A12" s="122"/>
      <c r="B12" s="10">
        <f>'فرم ارتقاء رتبه'!E73</f>
        <v>0</v>
      </c>
      <c r="C12" s="11">
        <f>'فرم ارتقاء رتبه'!F73</f>
        <v>0</v>
      </c>
      <c r="D12" s="1" t="s">
        <v>5</v>
      </c>
      <c r="G12" s="1">
        <f>IF(B12&lt;=E11,E11-B12)</f>
        <v>0</v>
      </c>
      <c r="H12" s="1" t="s">
        <v>8</v>
      </c>
      <c r="I12" s="128"/>
      <c r="L12" s="16"/>
      <c r="M12" s="16"/>
      <c r="N12" s="16"/>
      <c r="O12" s="16"/>
      <c r="P12" s="16"/>
      <c r="Q12" s="1">
        <f t="shared" si="0"/>
        <v>0</v>
      </c>
    </row>
    <row r="13" spans="1:17" ht="15">
      <c r="A13" s="122">
        <f>'فرم ارتقاء رتبه'!H74</f>
        <v>0</v>
      </c>
      <c r="B13" s="10">
        <f>'فرم ارتقاء رتبه'!E74</f>
        <v>0</v>
      </c>
      <c r="C13" s="11">
        <f>'فرم ارتقاء رتبه'!F74</f>
        <v>0</v>
      </c>
      <c r="D13" s="1" t="s">
        <v>3</v>
      </c>
      <c r="E13" s="1">
        <f>IF(B13&gt;C13,C14-1,C14)</f>
        <v>0</v>
      </c>
      <c r="F13" s="119" t="s">
        <v>14</v>
      </c>
      <c r="G13" s="1">
        <f>IF(B13&lt;=C13,C13-B13,(C13+30)-B13)</f>
        <v>0</v>
      </c>
      <c r="H13" s="1" t="s">
        <v>6</v>
      </c>
      <c r="I13" s="128">
        <f>IF(A13="حقیقی",(((G15*365)+(G14*30)+G13)/365)*2,(((G15*365)+(G14*30)+G13)/365)*1)</f>
        <v>0</v>
      </c>
      <c r="L13" s="16"/>
      <c r="M13" s="16"/>
      <c r="N13" s="16"/>
      <c r="O13" s="16"/>
      <c r="P13" s="16"/>
      <c r="Q13" s="1">
        <f t="shared" si="0"/>
        <v>0</v>
      </c>
    </row>
    <row r="14" spans="1:17" ht="15">
      <c r="A14" s="122"/>
      <c r="B14" s="10">
        <f>'فرم ارتقاء رتبه'!E75</f>
        <v>0</v>
      </c>
      <c r="C14" s="11">
        <f>'فرم ارتقاء رتبه'!F75</f>
        <v>0</v>
      </c>
      <c r="D14" s="1" t="s">
        <v>4</v>
      </c>
      <c r="E14" s="1">
        <f>IF(B14&gt;C14,C15-1,C15)</f>
        <v>0</v>
      </c>
      <c r="F14" s="120"/>
      <c r="G14" s="1">
        <f>IF(B14&lt;=E13,E13-B14,(E13+12)-B14)</f>
        <v>0</v>
      </c>
      <c r="H14" s="1" t="s">
        <v>7</v>
      </c>
      <c r="I14" s="128"/>
      <c r="L14" s="16"/>
      <c r="M14" s="16"/>
      <c r="N14" s="16"/>
      <c r="O14" s="16"/>
      <c r="P14" s="16"/>
      <c r="Q14" s="1">
        <f t="shared" si="0"/>
        <v>0</v>
      </c>
    </row>
    <row r="15" spans="1:17" ht="15">
      <c r="A15" s="122"/>
      <c r="B15" s="10">
        <f>'فرم ارتقاء رتبه'!E76</f>
        <v>0</v>
      </c>
      <c r="C15" s="11">
        <f>'فرم ارتقاء رتبه'!F76</f>
        <v>0</v>
      </c>
      <c r="D15" s="1" t="s">
        <v>5</v>
      </c>
      <c r="G15" s="1">
        <f>IF(B15&lt;=E14,E14-B15)</f>
        <v>0</v>
      </c>
      <c r="H15" s="1" t="s">
        <v>8</v>
      </c>
      <c r="I15" s="128"/>
      <c r="L15" s="16"/>
      <c r="M15" s="16"/>
      <c r="N15" s="16"/>
      <c r="O15" s="16"/>
      <c r="P15" s="16"/>
      <c r="Q15" s="1">
        <f t="shared" si="0"/>
        <v>0</v>
      </c>
    </row>
    <row r="16" spans="1:17" ht="15">
      <c r="A16" s="122">
        <f>'فرم ارتقاء رتبه'!H77</f>
        <v>0</v>
      </c>
      <c r="B16" s="10">
        <f>'فرم ارتقاء رتبه'!E77</f>
        <v>0</v>
      </c>
      <c r="C16" s="11">
        <f>'فرم ارتقاء رتبه'!F77</f>
        <v>0</v>
      </c>
      <c r="D16" s="1" t="s">
        <v>3</v>
      </c>
      <c r="E16" s="1">
        <f>IF(B16&gt;C16,C17-1,C17)</f>
        <v>0</v>
      </c>
      <c r="F16" s="119" t="s">
        <v>14</v>
      </c>
      <c r="G16" s="1">
        <f>IF(B16&lt;=C16,C16-B16,(C16+30)-B16)</f>
        <v>0</v>
      </c>
      <c r="H16" s="1" t="s">
        <v>6</v>
      </c>
      <c r="I16" s="128">
        <f>IF(A16="حقیقی",(((G18*365)+(G17*30)+G16)/365)*2,(((G18*365)+(G17*30)+G16)/365)*1)</f>
        <v>0</v>
      </c>
      <c r="Q16" s="18">
        <f>SUM(Q4:Q15)</f>
        <v>26.06027397260274</v>
      </c>
    </row>
    <row r="17" spans="1:9" ht="15">
      <c r="A17" s="122"/>
      <c r="B17" s="10">
        <f>'فرم ارتقاء رتبه'!E78</f>
        <v>0</v>
      </c>
      <c r="C17" s="11">
        <f>'فرم ارتقاء رتبه'!F78</f>
        <v>0</v>
      </c>
      <c r="D17" s="1" t="s">
        <v>4</v>
      </c>
      <c r="E17" s="1">
        <f>IF(B17&gt;C17,C18-1,C18)</f>
        <v>0</v>
      </c>
      <c r="F17" s="120"/>
      <c r="G17" s="1">
        <f>IF(B17&lt;=E16,E16-B17,(E16+12)-B17)</f>
        <v>0</v>
      </c>
      <c r="H17" s="1" t="s">
        <v>7</v>
      </c>
      <c r="I17" s="128"/>
    </row>
    <row r="18" spans="1:14" ht="15">
      <c r="A18" s="122"/>
      <c r="B18" s="10">
        <f>'فرم ارتقاء رتبه'!E79</f>
        <v>0</v>
      </c>
      <c r="C18" s="11">
        <f>'فرم ارتقاء رتبه'!F79</f>
        <v>0</v>
      </c>
      <c r="D18" s="1" t="s">
        <v>5</v>
      </c>
      <c r="G18" s="1">
        <f>IF(B18&lt;=E17,E17-B18)</f>
        <v>0</v>
      </c>
      <c r="H18" s="1" t="s">
        <v>8</v>
      </c>
      <c r="I18" s="128"/>
      <c r="L18" s="17">
        <f>MIN(30,I38)</f>
        <v>0</v>
      </c>
      <c r="M18" t="s">
        <v>16</v>
      </c>
      <c r="N18" s="17"/>
    </row>
    <row r="19" spans="1:9" ht="15">
      <c r="A19" s="122">
        <f>'فرم ارتقاء رتبه'!H80</f>
        <v>0</v>
      </c>
      <c r="B19" s="10">
        <f>'فرم ارتقاء رتبه'!E80</f>
        <v>0</v>
      </c>
      <c r="C19" s="11">
        <f>'فرم ارتقاء رتبه'!F80</f>
        <v>0</v>
      </c>
      <c r="D19" s="1" t="s">
        <v>3</v>
      </c>
      <c r="E19" s="1">
        <f>IF(B19&gt;C19,C20-1,C20)</f>
        <v>0</v>
      </c>
      <c r="F19" s="119" t="s">
        <v>14</v>
      </c>
      <c r="G19" s="1">
        <f>IF(B19&lt;=C19,C19-B19,(C19+30)-B19)</f>
        <v>0</v>
      </c>
      <c r="H19" s="1" t="s">
        <v>6</v>
      </c>
      <c r="I19" s="128">
        <f>IF(A19="حقیقی",(((G21*365)+(G20*30)+G19)/365)*2,(((G21*365)+(G20*30)+G19)/365)*1)</f>
        <v>0</v>
      </c>
    </row>
    <row r="20" spans="1:9" ht="15">
      <c r="A20" s="122"/>
      <c r="B20" s="10">
        <f>'فرم ارتقاء رتبه'!E81</f>
        <v>0</v>
      </c>
      <c r="C20" s="11">
        <f>'فرم ارتقاء رتبه'!F81</f>
        <v>0</v>
      </c>
      <c r="D20" s="1" t="s">
        <v>4</v>
      </c>
      <c r="E20" s="1">
        <f>IF(B20&gt;C20,C21-1,C21)</f>
        <v>0</v>
      </c>
      <c r="F20" s="120"/>
      <c r="G20" s="1">
        <f>IF(B20&lt;=E19,E19-B20,(E19+12)-B20)</f>
        <v>0</v>
      </c>
      <c r="H20" s="1" t="s">
        <v>7</v>
      </c>
      <c r="I20" s="128"/>
    </row>
    <row r="21" spans="1:9" ht="15">
      <c r="A21" s="122"/>
      <c r="B21" s="10">
        <f>'فرم ارتقاء رتبه'!E82</f>
        <v>0</v>
      </c>
      <c r="C21" s="11">
        <f>'فرم ارتقاء رتبه'!F82</f>
        <v>0</v>
      </c>
      <c r="D21" s="1" t="s">
        <v>5</v>
      </c>
      <c r="G21" s="1">
        <f>IF(B21&lt;=E20,E20-B21)</f>
        <v>0</v>
      </c>
      <c r="H21" s="1" t="s">
        <v>8</v>
      </c>
      <c r="I21" s="128"/>
    </row>
    <row r="22" spans="1:9" ht="15">
      <c r="A22" s="122">
        <f>'فرم ارتقاء رتبه'!H83</f>
        <v>0</v>
      </c>
      <c r="B22" s="10">
        <f>'فرم ارتقاء رتبه'!E83</f>
        <v>0</v>
      </c>
      <c r="C22" s="11">
        <f>'فرم ارتقاء رتبه'!F83</f>
        <v>0</v>
      </c>
      <c r="D22" s="1" t="s">
        <v>3</v>
      </c>
      <c r="E22" s="1">
        <f>IF(B22&gt;C22,C23-1,C23)</f>
        <v>0</v>
      </c>
      <c r="F22" s="119" t="s">
        <v>14</v>
      </c>
      <c r="G22" s="1">
        <f>IF(B22&lt;=C22,C22-B22,(C22+30)-B22)</f>
        <v>0</v>
      </c>
      <c r="H22" s="1" t="s">
        <v>6</v>
      </c>
      <c r="I22" s="128">
        <f>IF(A22="حقیقی",(((G24*365)+(G23*30)+G22)/365)*2,(((G24*365)+(G23*30)+G22)/365)*1)</f>
        <v>0</v>
      </c>
    </row>
    <row r="23" spans="1:9" ht="15">
      <c r="A23" s="122"/>
      <c r="B23" s="10">
        <f>'فرم ارتقاء رتبه'!E84</f>
        <v>0</v>
      </c>
      <c r="C23" s="11">
        <f>'فرم ارتقاء رتبه'!F84</f>
        <v>0</v>
      </c>
      <c r="D23" s="1" t="s">
        <v>4</v>
      </c>
      <c r="E23" s="1">
        <f>IF(B23&gt;C23,C24-1,C24)</f>
        <v>0</v>
      </c>
      <c r="F23" s="120"/>
      <c r="G23" s="1">
        <f>IF(B23&lt;=E22,E22-B23,(E22+12)-B23)</f>
        <v>0</v>
      </c>
      <c r="H23" s="1" t="s">
        <v>7</v>
      </c>
      <c r="I23" s="128"/>
    </row>
    <row r="24" spans="1:9" ht="15">
      <c r="A24" s="122"/>
      <c r="B24" s="10">
        <f>'فرم ارتقاء رتبه'!E85</f>
        <v>0</v>
      </c>
      <c r="C24" s="11">
        <f>'فرم ارتقاء رتبه'!F85</f>
        <v>0</v>
      </c>
      <c r="D24" s="1" t="s">
        <v>5</v>
      </c>
      <c r="G24" s="1">
        <f>IF(B24&lt;=E23,E23-B24)</f>
        <v>0</v>
      </c>
      <c r="H24" s="1" t="s">
        <v>8</v>
      </c>
      <c r="I24" s="128"/>
    </row>
    <row r="25" spans="1:9" ht="15">
      <c r="A25" s="122">
        <f>'فرم ارتقاء رتبه'!H86</f>
        <v>0</v>
      </c>
      <c r="B25" s="10">
        <f>'فرم ارتقاء رتبه'!E86</f>
        <v>0</v>
      </c>
      <c r="C25" s="11">
        <f>'فرم ارتقاء رتبه'!F86</f>
        <v>0</v>
      </c>
      <c r="D25" s="1" t="s">
        <v>3</v>
      </c>
      <c r="E25" s="1">
        <f>IF(B25&gt;C25,C26-1,C26)</f>
        <v>0</v>
      </c>
      <c r="F25" s="119" t="s">
        <v>14</v>
      </c>
      <c r="G25" s="1">
        <f>IF(B25&lt;=C25,C25-B25,(C25+30)-B25)</f>
        <v>0</v>
      </c>
      <c r="H25" s="1" t="s">
        <v>6</v>
      </c>
      <c r="I25" s="128">
        <f>IF(A25="حقیقی",(((G27*365)+(G26*30)+G25)/365)*2,(((G27*365)+(G26*30)+G25)/365)*1)</f>
        <v>0</v>
      </c>
    </row>
    <row r="26" spans="1:9" ht="15">
      <c r="A26" s="122"/>
      <c r="B26" s="10">
        <f>'فرم ارتقاء رتبه'!E87</f>
        <v>0</v>
      </c>
      <c r="C26" s="11">
        <f>'فرم ارتقاء رتبه'!F87</f>
        <v>0</v>
      </c>
      <c r="D26" s="1" t="s">
        <v>4</v>
      </c>
      <c r="E26" s="1">
        <f>IF(B26&gt;C26,C27-1,C27)</f>
        <v>0</v>
      </c>
      <c r="F26" s="120"/>
      <c r="G26" s="1">
        <f>IF(B26&lt;=E25,E25-B26,(E25+12)-B26)</f>
        <v>0</v>
      </c>
      <c r="H26" s="1" t="s">
        <v>7</v>
      </c>
      <c r="I26" s="128"/>
    </row>
    <row r="27" spans="1:9" ht="15">
      <c r="A27" s="122"/>
      <c r="B27" s="10">
        <f>'فرم ارتقاء رتبه'!E88</f>
        <v>0</v>
      </c>
      <c r="C27" s="11">
        <f>'فرم ارتقاء رتبه'!F88</f>
        <v>0</v>
      </c>
      <c r="D27" s="1" t="s">
        <v>5</v>
      </c>
      <c r="G27" s="1">
        <f>IF(B27&lt;=E26,E26-B27)</f>
        <v>0</v>
      </c>
      <c r="H27" s="1" t="s">
        <v>8</v>
      </c>
      <c r="I27" s="128"/>
    </row>
    <row r="28" spans="1:9" ht="15">
      <c r="A28" s="122">
        <f>'فرم ارتقاء رتبه'!H89</f>
        <v>0</v>
      </c>
      <c r="B28" s="10">
        <f>'فرم ارتقاء رتبه'!E89</f>
        <v>0</v>
      </c>
      <c r="C28" s="11">
        <f>'فرم ارتقاء رتبه'!F89</f>
        <v>0</v>
      </c>
      <c r="D28" s="1" t="s">
        <v>3</v>
      </c>
      <c r="E28" s="1">
        <f>IF(B28&gt;C28,C29-1,C29)</f>
        <v>0</v>
      </c>
      <c r="F28" s="119" t="s">
        <v>14</v>
      </c>
      <c r="G28" s="1">
        <f>IF(B28&lt;=C28,C28-B28,(C28+30)-B28)</f>
        <v>0</v>
      </c>
      <c r="H28" s="1" t="s">
        <v>6</v>
      </c>
      <c r="I28" s="128">
        <f>IF(A28="حقیقی",(((G30*365)+(G29*30)+G28)/365)*2,(((G30*365)+(G29*30)+G28)/365)*1)</f>
        <v>0</v>
      </c>
    </row>
    <row r="29" spans="1:9" ht="15">
      <c r="A29" s="122"/>
      <c r="B29" s="10">
        <f>'فرم ارتقاء رتبه'!E90</f>
        <v>0</v>
      </c>
      <c r="C29" s="11">
        <f>'فرم ارتقاء رتبه'!F90</f>
        <v>0</v>
      </c>
      <c r="D29" s="1" t="s">
        <v>4</v>
      </c>
      <c r="E29" s="1">
        <f>IF(B29&gt;C29,C30-1,C30)</f>
        <v>0</v>
      </c>
      <c r="F29" s="120"/>
      <c r="G29" s="1">
        <f>IF(B29&lt;=E28,E28-B29,(E28+12)-B29)</f>
        <v>0</v>
      </c>
      <c r="H29" s="1" t="s">
        <v>7</v>
      </c>
      <c r="I29" s="128"/>
    </row>
    <row r="30" spans="1:9" ht="15">
      <c r="A30" s="122"/>
      <c r="B30" s="10">
        <f>'فرم ارتقاء رتبه'!E91</f>
        <v>0</v>
      </c>
      <c r="C30" s="11">
        <f>'فرم ارتقاء رتبه'!F91</f>
        <v>0</v>
      </c>
      <c r="D30" s="1" t="s">
        <v>5</v>
      </c>
      <c r="G30" s="1">
        <f>IF(B30&lt;=E29,E29-B30)</f>
        <v>0</v>
      </c>
      <c r="H30" s="1" t="s">
        <v>8</v>
      </c>
      <c r="I30" s="128"/>
    </row>
    <row r="31" spans="1:9" ht="15">
      <c r="A31" s="122">
        <f>'فرم ارتقاء رتبه'!H92</f>
        <v>0</v>
      </c>
      <c r="B31" s="10">
        <f>'فرم ارتقاء رتبه'!E92</f>
        <v>0</v>
      </c>
      <c r="C31" s="11">
        <f>'فرم ارتقاء رتبه'!F92</f>
        <v>0</v>
      </c>
      <c r="D31" s="1" t="s">
        <v>3</v>
      </c>
      <c r="E31" s="1">
        <f>IF(B31&gt;C31,C32-1,C32)</f>
        <v>0</v>
      </c>
      <c r="F31" s="119" t="s">
        <v>14</v>
      </c>
      <c r="G31" s="1">
        <f>IF(B31&lt;=C31,C31-B31,(C31+30)-B31)</f>
        <v>0</v>
      </c>
      <c r="H31" s="1" t="s">
        <v>6</v>
      </c>
      <c r="I31" s="128">
        <f>IF(A31="حقیقی",(((G33*365)+(G32*30)+G31)/365)*2,(((G33*365)+(G32*30)+G31)/365)*1)</f>
        <v>0</v>
      </c>
    </row>
    <row r="32" spans="1:9" ht="15">
      <c r="A32" s="122"/>
      <c r="B32" s="10">
        <f>'فرم ارتقاء رتبه'!E93</f>
        <v>0</v>
      </c>
      <c r="C32" s="11">
        <f>'فرم ارتقاء رتبه'!F93</f>
        <v>0</v>
      </c>
      <c r="D32" s="1" t="s">
        <v>4</v>
      </c>
      <c r="E32" s="1">
        <f>IF(B32&gt;C32,C33-1,C33)</f>
        <v>0</v>
      </c>
      <c r="F32" s="120"/>
      <c r="G32" s="1">
        <f>IF(B32&lt;=E31,E31-B32,(E31+12)-B32)</f>
        <v>0</v>
      </c>
      <c r="H32" s="1" t="s">
        <v>7</v>
      </c>
      <c r="I32" s="128"/>
    </row>
    <row r="33" spans="1:9" ht="15">
      <c r="A33" s="122"/>
      <c r="B33" s="10">
        <f>'فرم ارتقاء رتبه'!E94</f>
        <v>0</v>
      </c>
      <c r="C33" s="11">
        <f>'فرم ارتقاء رتبه'!F94</f>
        <v>0</v>
      </c>
      <c r="D33" s="1" t="s">
        <v>5</v>
      </c>
      <c r="G33" s="1">
        <f>IF(B33&lt;=E32,E32-B33)</f>
        <v>0</v>
      </c>
      <c r="H33" s="1" t="s">
        <v>8</v>
      </c>
      <c r="I33" s="128"/>
    </row>
    <row r="34" spans="1:9" ht="15">
      <c r="A34" s="122">
        <f>'فرم ارتقاء رتبه'!H95</f>
        <v>0</v>
      </c>
      <c r="B34" s="10">
        <f>'فرم ارتقاء رتبه'!E95</f>
        <v>0</v>
      </c>
      <c r="C34" s="11">
        <f>'فرم ارتقاء رتبه'!F95</f>
        <v>0</v>
      </c>
      <c r="D34" s="1" t="s">
        <v>3</v>
      </c>
      <c r="E34" s="1">
        <f>IF(B34&gt;C34,C35-1,C35)</f>
        <v>0</v>
      </c>
      <c r="F34" s="119" t="s">
        <v>14</v>
      </c>
      <c r="G34" s="1">
        <f>IF(B34&lt;=C34,C34-B34,(C34+30)-B34)</f>
        <v>0</v>
      </c>
      <c r="H34" s="1" t="s">
        <v>6</v>
      </c>
      <c r="I34" s="128">
        <f>IF(A34="حقیقی",(((G36*365)+(G35*30)+G34)/365)*2,(((G36*365)+(G35*30)+G34)/365)*1)</f>
        <v>0</v>
      </c>
    </row>
    <row r="35" spans="1:9" ht="15">
      <c r="A35" s="122"/>
      <c r="B35" s="10">
        <f>'فرم ارتقاء رتبه'!E96</f>
        <v>0</v>
      </c>
      <c r="C35" s="11">
        <f>'فرم ارتقاء رتبه'!F96</f>
        <v>0</v>
      </c>
      <c r="D35" s="1" t="s">
        <v>4</v>
      </c>
      <c r="E35" s="1">
        <f>IF(B35&gt;C35,C36-1,C36)</f>
        <v>0</v>
      </c>
      <c r="F35" s="120"/>
      <c r="G35" s="1">
        <f>IF(B35&lt;=E34,E34-B35,(E34+12)-B35)</f>
        <v>0</v>
      </c>
      <c r="H35" s="1" t="s">
        <v>7</v>
      </c>
      <c r="I35" s="128"/>
    </row>
    <row r="36" spans="1:9" ht="15">
      <c r="A36" s="122"/>
      <c r="B36" s="10">
        <f>'فرم ارتقاء رتبه'!E97</f>
        <v>0</v>
      </c>
      <c r="C36" s="11">
        <f>'فرم ارتقاء رتبه'!F97</f>
        <v>0</v>
      </c>
      <c r="D36" s="1" t="s">
        <v>5</v>
      </c>
      <c r="G36" s="1">
        <f>IF(B36&lt;=E35,E35-B36)</f>
        <v>0</v>
      </c>
      <c r="H36" s="1" t="s">
        <v>8</v>
      </c>
      <c r="I36" s="128"/>
    </row>
    <row r="37" ht="15">
      <c r="A37" s="122"/>
    </row>
    <row r="38" spans="1:9" ht="15">
      <c r="A38" s="122"/>
      <c r="I38">
        <f>SUM(I4:I36)</f>
        <v>0</v>
      </c>
    </row>
    <row r="39" ht="15">
      <c r="A39" s="122"/>
    </row>
    <row r="40" ht="15">
      <c r="A40" s="122"/>
    </row>
    <row r="41" ht="15">
      <c r="A41" s="122"/>
    </row>
    <row r="42" ht="15">
      <c r="A42" s="122"/>
    </row>
    <row r="43" ht="15">
      <c r="A43" s="122"/>
    </row>
    <row r="44" ht="15">
      <c r="A44" s="122"/>
    </row>
    <row r="45" ht="15">
      <c r="A45" s="122"/>
    </row>
  </sheetData>
  <sheetProtection password="CB42" sheet="1" objects="1" scenarios="1"/>
  <mergeCells count="36">
    <mergeCell ref="F4:F5"/>
    <mergeCell ref="I4:I6"/>
    <mergeCell ref="F7:F8"/>
    <mergeCell ref="I7:I9"/>
    <mergeCell ref="F10:F11"/>
    <mergeCell ref="I10:I12"/>
    <mergeCell ref="F13:F14"/>
    <mergeCell ref="I13:I15"/>
    <mergeCell ref="F16:F17"/>
    <mergeCell ref="I16:I18"/>
    <mergeCell ref="F19:F20"/>
    <mergeCell ref="I19:I21"/>
    <mergeCell ref="F31:F32"/>
    <mergeCell ref="I31:I33"/>
    <mergeCell ref="F34:F35"/>
    <mergeCell ref="I34:I36"/>
    <mergeCell ref="F22:F23"/>
    <mergeCell ref="I22:I24"/>
    <mergeCell ref="F25:F26"/>
    <mergeCell ref="I25:I27"/>
    <mergeCell ref="F28:F29"/>
    <mergeCell ref="I28:I30"/>
    <mergeCell ref="A43:A45"/>
    <mergeCell ref="A37:A39"/>
    <mergeCell ref="A40:A4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2"/>
  <sheetViews>
    <sheetView rightToLeft="1" zoomScalePageLayoutView="0" workbookViewId="0" topLeftCell="A1">
      <selection activeCell="E1" sqref="E1"/>
    </sheetView>
  </sheetViews>
  <sheetFormatPr defaultColWidth="9.140625" defaultRowHeight="15"/>
  <cols>
    <col min="4" max="4" width="8.8515625" style="0" customWidth="1"/>
  </cols>
  <sheetData>
    <row r="1" spans="5:6" ht="15">
      <c r="E1">
        <f>SUMIF('دوره های آموزشی گذرانده شده'!E:E,"بله",'دوره های آموزشی گذرانده شده'!D:D)</f>
        <v>213</v>
      </c>
      <c r="F1" t="s">
        <v>27</v>
      </c>
    </row>
    <row r="2" spans="5:7" ht="15">
      <c r="E2" s="11">
        <f>'فرم ارتقاء رتبه'!G102</f>
        <v>0</v>
      </c>
      <c r="F2" s="130" t="s">
        <v>34</v>
      </c>
      <c r="G2" s="130"/>
    </row>
    <row r="5" ht="15">
      <c r="B5" t="s">
        <v>35</v>
      </c>
    </row>
    <row r="6" spans="2:3" ht="15">
      <c r="B6">
        <v>36</v>
      </c>
      <c r="C6" t="s">
        <v>28</v>
      </c>
    </row>
    <row r="7" spans="2:3" ht="15">
      <c r="B7">
        <v>51</v>
      </c>
      <c r="C7" t="s">
        <v>29</v>
      </c>
    </row>
    <row r="8" spans="2:3" ht="15">
      <c r="B8">
        <v>66</v>
      </c>
      <c r="C8" t="s">
        <v>30</v>
      </c>
    </row>
    <row r="9" spans="2:3" ht="15">
      <c r="B9">
        <v>84</v>
      </c>
      <c r="C9" t="s">
        <v>31</v>
      </c>
    </row>
    <row r="11" spans="2:3" ht="15">
      <c r="B11" s="11" t="s">
        <v>33</v>
      </c>
      <c r="C11" s="11" t="str">
        <f>'فرم ارتقاء رتبه'!C102</f>
        <v>مهارتی</v>
      </c>
    </row>
    <row r="15" spans="5:6" ht="15">
      <c r="E15">
        <f>IF(OR('فرم ارتقاء رتبه'!G102=0,'فرم ارتقاء رتبه'!G102=""),(E1*0.6),(E1*0.6)+10)</f>
        <v>127.8</v>
      </c>
      <c r="F15" t="s">
        <v>32</v>
      </c>
    </row>
    <row r="16" spans="5:6" ht="15">
      <c r="E16">
        <f>IF(AND(C11="مهارتی",(E15&lt;=36)),E15,36)</f>
        <v>36</v>
      </c>
      <c r="F16" t="s">
        <v>49</v>
      </c>
    </row>
    <row r="17" spans="5:6" ht="15">
      <c r="E17">
        <f>IF(AND(C11="رتبه 3",(E15&lt;=51)),E15,51)</f>
        <v>51</v>
      </c>
      <c r="F17" t="s">
        <v>50</v>
      </c>
    </row>
    <row r="18" spans="5:6" ht="15">
      <c r="E18">
        <f>IF(AND(C11="رتبه 2",(E15&lt;=66)),E15,66)</f>
        <v>66</v>
      </c>
      <c r="F18" t="s">
        <v>51</v>
      </c>
    </row>
    <row r="19" spans="5:6" ht="15">
      <c r="E19">
        <f>IF(AND(C11="رتبه 1",(E15&lt;=84)),E15,84)</f>
        <v>84</v>
      </c>
      <c r="F19" t="s">
        <v>52</v>
      </c>
    </row>
    <row r="22" spans="3:6" ht="15">
      <c r="C22" s="129">
        <f>IF(C11="مهارتی",E16,IF(C11="رتبه 3",E17,IF(C11="رتبه 2",E18,IF(C11="رتبه 1",E19,"رتبه را وارد کنید"))))</f>
        <v>36</v>
      </c>
      <c r="D22" s="129"/>
      <c r="E22" s="129"/>
      <c r="F22" s="12" t="s">
        <v>16</v>
      </c>
    </row>
  </sheetData>
  <sheetProtection password="CB42" sheet="1" objects="1" scenarios="1"/>
  <mergeCells count="2">
    <mergeCell ref="C22:E22"/>
    <mergeCell ref="F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rightToLeft="1" zoomScalePageLayoutView="0" workbookViewId="0" topLeftCell="A1">
      <selection activeCell="C3" sqref="C3"/>
    </sheetView>
  </sheetViews>
  <sheetFormatPr defaultColWidth="9.140625" defaultRowHeight="15"/>
  <cols>
    <col min="1" max="1" width="20.421875" style="0" customWidth="1"/>
  </cols>
  <sheetData>
    <row r="1" spans="1:7" ht="15">
      <c r="A1" t="s">
        <v>47</v>
      </c>
      <c r="B1" t="s">
        <v>48</v>
      </c>
      <c r="C1" t="s">
        <v>33</v>
      </c>
      <c r="D1" t="s">
        <v>40</v>
      </c>
      <c r="F1">
        <f>IF(AND(C2="مهارتی",D2&lt;=6),D2,6)</f>
        <v>3</v>
      </c>
      <c r="G1" t="s">
        <v>49</v>
      </c>
    </row>
    <row r="2" spans="1:7" ht="15">
      <c r="A2" s="15">
        <f>'فرم ارتقاء رتبه'!C114</f>
        <v>0</v>
      </c>
      <c r="B2">
        <v>3</v>
      </c>
      <c r="C2" s="15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  <c r="D2">
        <f>SUMIF('فرم ارتقاء رتبه'!G108:G114,"بله",'فرم ارتقاء رتبه'!H108:H114)</f>
        <v>3</v>
      </c>
      <c r="F2">
        <f>IF(AND(C2="رتبه 3",D2&lt;=8.5),D2,8.5)</f>
        <v>8.5</v>
      </c>
      <c r="G2" t="s">
        <v>50</v>
      </c>
    </row>
    <row r="3" spans="6:7" ht="15">
      <c r="F3">
        <f>IF(AND(C2="رتبه 2",D2&lt;=11),D2,11)</f>
        <v>11</v>
      </c>
      <c r="G3" t="s">
        <v>51</v>
      </c>
    </row>
    <row r="4" spans="6:7" ht="15">
      <c r="F4">
        <f>IF(AND(C2="رتبه 1",D2&lt;=14),D2,14)</f>
        <v>14</v>
      </c>
      <c r="G4" t="s">
        <v>52</v>
      </c>
    </row>
    <row r="6" spans="2:3" ht="15">
      <c r="B6">
        <f>IF('فرم ارتقاء رتبه'!G108="بله",3,0)</f>
        <v>3</v>
      </c>
      <c r="C6" t="s">
        <v>150</v>
      </c>
    </row>
    <row r="7" ht="15">
      <c r="B7">
        <f>IF('فرم ارتقاء رتبه'!G109="بله",3,0)</f>
        <v>0</v>
      </c>
    </row>
    <row r="8" ht="15">
      <c r="B8">
        <f>IF('فرم ارتقاء رتبه'!G110="بله",3,0)</f>
        <v>0</v>
      </c>
    </row>
    <row r="9" ht="15">
      <c r="B9">
        <f>IF('فرم ارتقاء رتبه'!G111="بله",3,0)</f>
        <v>0</v>
      </c>
    </row>
    <row r="10" ht="15">
      <c r="B10">
        <f>IF('فرم ارتقاء رتبه'!G112="بله",3,0)</f>
        <v>0</v>
      </c>
    </row>
    <row r="11" spans="2:7" ht="15">
      <c r="B11">
        <f>IF('فرم ارتقاء رتبه'!G113="بله",3,0)</f>
        <v>0</v>
      </c>
      <c r="F11">
        <f>IF(C2="مهارتی",F1,IF(C2="رتبه 3",F2,IF(C2="رتبه 2",F3,IF(C2="رتبه 1",F4,"رتبه را وارد کنید"))))</f>
        <v>3</v>
      </c>
      <c r="G11" t="s">
        <v>16</v>
      </c>
    </row>
    <row r="12" ht="15">
      <c r="B12">
        <f>IF('فرم ارتقاء رتبه'!G114="بله",3,0)</f>
        <v>0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20"/>
  <sheetViews>
    <sheetView rightToLeft="1" zoomScalePageLayoutView="0" workbookViewId="0" topLeftCell="A1">
      <selection activeCell="B19" sqref="B19"/>
    </sheetView>
  </sheetViews>
  <sheetFormatPr defaultColWidth="9.140625" defaultRowHeight="15"/>
  <cols>
    <col min="1" max="1" width="15.8515625" style="0" customWidth="1"/>
    <col min="2" max="2" width="16.57421875" style="0" customWidth="1"/>
    <col min="5" max="6" width="9.00390625" style="0" customWidth="1"/>
  </cols>
  <sheetData>
    <row r="1" spans="3:5" ht="15">
      <c r="C1" t="s">
        <v>40</v>
      </c>
      <c r="E1" t="s">
        <v>33</v>
      </c>
    </row>
    <row r="2" ht="15">
      <c r="E2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</row>
    <row r="3" spans="1:4" ht="15">
      <c r="A3" t="str">
        <f>'فرم ارتقاء رتبه'!C118</f>
        <v>مبانی</v>
      </c>
      <c r="B3" t="str">
        <f>'فرم ارتقاء رتبه'!F118</f>
        <v>خير</v>
      </c>
      <c r="C3">
        <f>IF(AND(B3="بله",E2="مهارتی"),2.18,IF(AND(B3="بله",E2="رتبه 3"),3.12,IF(AND(B3="بله",E2="رتبه 2"),4.1,IF(AND(B3="بله",E2="رتبه 1"),5.16,0))))</f>
        <v>0</v>
      </c>
      <c r="D3" s="131">
        <f>SUM(C3:C9)</f>
        <v>21.819999999999997</v>
      </c>
    </row>
    <row r="4" spans="1:4" ht="15">
      <c r="A4" t="str">
        <f>'فرم ارتقاء رتبه'!C119</f>
        <v>windows</v>
      </c>
      <c r="B4" t="str">
        <f>'فرم ارتقاء رتبه'!F119</f>
        <v>بله</v>
      </c>
      <c r="C4">
        <f>IF(AND(B4="بله",E2="مهارتی"),1.42,IF(AND(B4="بله",E2="رتبه 3"),2.18,IF(AND(B4="بله",E2="رتبه 2"),2.95,IF(AND(B4="بله",E2="رتبه 1"),3.54,0))))</f>
        <v>1.42</v>
      </c>
      <c r="D4" s="131"/>
    </row>
    <row r="5" spans="1:4" ht="15">
      <c r="A5" t="str">
        <f>'فرم ارتقاء رتبه'!C120</f>
        <v>internet</v>
      </c>
      <c r="B5" t="str">
        <f>'فرم ارتقاء رتبه'!F120</f>
        <v>بله</v>
      </c>
      <c r="C5">
        <f>IF(AND(B5="بله",E2="مهارتی"),2.18,IF(AND(B5="بله",E2="رتبه 3"),3.12,IF(AND(B5="بله",E2="رتبه 2"),4.1,IF(AND(B5="بله",E2="رتبه 1"),5.16,0))))</f>
        <v>2.18</v>
      </c>
      <c r="D5" s="131"/>
    </row>
    <row r="6" spans="1:4" ht="15">
      <c r="A6" t="str">
        <f>'فرم ارتقاء رتبه'!C121</f>
        <v>word</v>
      </c>
      <c r="B6" t="str">
        <f>'فرم ارتقاء رتبه'!F121</f>
        <v>بله</v>
      </c>
      <c r="C6">
        <f>IF(AND(B6="بله",E$2="مهارتی"),4.84,IF(AND(B6="بله",E$2="رتبه 3"),6.76,IF(AND(B6="بله",E$2="رتبه 2"),8.7,IF(AND(B6="بله",E$2="رتبه 1"),11.18,0))))</f>
        <v>4.84</v>
      </c>
      <c r="D6" s="131"/>
    </row>
    <row r="7" spans="1:4" ht="15">
      <c r="A7" t="str">
        <f>'فرم ارتقاء رتبه'!C122</f>
        <v>excel</v>
      </c>
      <c r="B7" t="str">
        <f>'فرم ارتقاء رتبه'!F122</f>
        <v>بله</v>
      </c>
      <c r="C7">
        <f>IF(AND(B7="بله",E$2="مهارتی"),4.84,IF(AND(B7="بله",E$2="رتبه 3"),6.76,IF(AND(B7="بله",E$2="رتبه 2"),8.7,IF(AND(B7="بله",E$2="رتبه 1"),11.18,0))))</f>
        <v>4.84</v>
      </c>
      <c r="D7" s="131"/>
    </row>
    <row r="8" spans="1:11" ht="15">
      <c r="A8" t="str">
        <f>'فرم ارتقاء رتبه'!C123</f>
        <v>access</v>
      </c>
      <c r="B8" t="str">
        <f>'فرم ارتقاء رتبه'!F123</f>
        <v>بله</v>
      </c>
      <c r="C8">
        <f>IF(AND(B8="بله",E$2="مهارتی"),4.84,IF(AND(B8="بله",E$2="رتبه 3"),6.76,IF(AND(B8="بله",E$2="رتبه 2"),8.7,IF(AND(B8="بله",E$2="رتبه 1"),11.18,0))))</f>
        <v>4.84</v>
      </c>
      <c r="D8" s="131"/>
      <c r="H8" s="23"/>
      <c r="I8" s="23"/>
      <c r="J8" s="23"/>
      <c r="K8" s="23"/>
    </row>
    <row r="9" spans="1:11" ht="15">
      <c r="A9" t="str">
        <f>'فرم ارتقاء رتبه'!C124</f>
        <v>powerpoint</v>
      </c>
      <c r="B9" t="str">
        <f>'فرم ارتقاء رتبه'!F124</f>
        <v>بله</v>
      </c>
      <c r="C9">
        <f>IF(AND(B9="بله",E2="مهارتی"),3.7,IF(AND(B9="بله",E2="رتبه 3"),5.3,IF(AND(B9="بله",E2="رتبه 2"),6.75,IF(AND(B9="بله",E2="رتبه 1"),8.6,0))))</f>
        <v>3.7</v>
      </c>
      <c r="D9" s="131"/>
      <c r="H9" s="23"/>
      <c r="I9" s="23"/>
      <c r="J9" s="23"/>
      <c r="K9" s="23"/>
    </row>
    <row r="10" spans="1:11" ht="15">
      <c r="A10" t="str">
        <f>'فرم ارتقاء رتبه'!C125</f>
        <v>نرم افزار های تخصصی</v>
      </c>
      <c r="B10" t="str">
        <f>'فرم ارتقاء رتبه'!F125</f>
        <v>بله</v>
      </c>
      <c r="C10">
        <f>IF(AND(B10="بله",E2="مهارتی"),0.15*120,IF(AND(B10="بله",E2="رتبه 3"),0.15*170,IF(AND(B10="بله",E2="رتبه 2"),0.15*220,IF(AND(B10="بله",E2="رتبه 1"),0.15*280,0))))</f>
        <v>18</v>
      </c>
      <c r="H10" s="23"/>
      <c r="I10" s="23"/>
      <c r="J10" s="23"/>
      <c r="K10" s="23"/>
    </row>
    <row r="11" spans="1:11" ht="15">
      <c r="A11" t="str">
        <f>'فرم ارتقاء رتبه'!C126</f>
        <v>اتوماسیون اداری</v>
      </c>
      <c r="B11" t="str">
        <f>'فرم ارتقاء رتبه'!F126</f>
        <v>بله</v>
      </c>
      <c r="C11">
        <f>IF(AND(B11="بله",E2="مهارتی"),0.05*120,IF(AND(B11="بله",E2="رتبه 3"),0.05*170,IF(AND(B11="بله",E2="رتبه 2"),0.05*220,IF(AND(B11="بله",E2="رتبه 1"),0.05*280,0))))</f>
        <v>6</v>
      </c>
      <c r="H11" s="23"/>
      <c r="I11" s="23"/>
      <c r="J11" s="23"/>
      <c r="K11" s="23"/>
    </row>
    <row r="12" spans="8:11" ht="15">
      <c r="H12" s="23"/>
      <c r="I12" s="23"/>
      <c r="J12" s="23"/>
      <c r="K12" s="23"/>
    </row>
    <row r="13" spans="8:11" ht="15">
      <c r="H13" s="23"/>
      <c r="I13" s="23"/>
      <c r="J13" s="23"/>
      <c r="K13" s="23"/>
    </row>
    <row r="14" spans="8:11" ht="15">
      <c r="H14" s="23"/>
      <c r="I14" s="23"/>
      <c r="J14" s="23"/>
      <c r="K14" s="23"/>
    </row>
    <row r="15" spans="3:11" ht="15">
      <c r="C15" s="22">
        <f>SUM(C3:C14)</f>
        <v>45.81999999999999</v>
      </c>
      <c r="H15" s="23"/>
      <c r="I15" s="23"/>
      <c r="J15" s="23"/>
      <c r="K15" s="23"/>
    </row>
    <row r="16" spans="8:11" ht="15">
      <c r="H16" s="23"/>
      <c r="I16" s="23"/>
      <c r="J16" s="23"/>
      <c r="K16" s="23"/>
    </row>
    <row r="17" spans="8:11" ht="15">
      <c r="H17" s="23"/>
      <c r="I17" s="23"/>
      <c r="J17" s="23"/>
      <c r="K17" s="23"/>
    </row>
    <row r="18" spans="8:11" ht="15">
      <c r="H18" s="23"/>
      <c r="I18" s="23"/>
      <c r="J18" s="23"/>
      <c r="K18" s="23"/>
    </row>
    <row r="19" spans="8:11" ht="15">
      <c r="H19" s="23"/>
      <c r="I19" s="23"/>
      <c r="J19" s="23"/>
      <c r="K19" s="23"/>
    </row>
    <row r="20" spans="8:11" ht="15">
      <c r="H20" s="23"/>
      <c r="I20" s="23"/>
      <c r="J20" s="23"/>
      <c r="K20" s="23"/>
    </row>
  </sheetData>
  <sheetProtection password="CB42" sheet="1" objects="1" scenarios="1"/>
  <mergeCells count="1">
    <mergeCell ref="D3:D9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</dc:creator>
  <cp:keywords/>
  <dc:description/>
  <cp:lastModifiedBy>usere</cp:lastModifiedBy>
  <cp:lastPrinted>2018-01-23T06:42:53Z</cp:lastPrinted>
  <dcterms:created xsi:type="dcterms:W3CDTF">2017-11-07T17:56:53Z</dcterms:created>
  <dcterms:modified xsi:type="dcterms:W3CDTF">2018-06-30T12:05:52Z</dcterms:modified>
  <cp:category/>
  <cp:version/>
  <cp:contentType/>
  <cp:contentStatus/>
</cp:coreProperties>
</file>